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.sharepoint.com/sites/InstitutionalResearch-UMSL-Ogrp/Shared Documents/Fact Book/FY2025/"/>
    </mc:Choice>
  </mc:AlternateContent>
  <xr:revisionPtr revIDLastSave="0" documentId="8_{9BE26C75-C9A0-42BE-9EF2-59F045355A0C}" xr6:coauthVersionLast="45" xr6:coauthVersionMax="45" xr10:uidLastSave="{00000000-0000-0000-0000-000000000000}"/>
  <bookViews>
    <workbookView xWindow="1950" yWindow="1950" windowWidth="21600" windowHeight="11175" xr2:uid="{00000000-000D-0000-FFFF-FFFF00000000}"/>
  </bookViews>
  <sheets>
    <sheet name="fall_enroll_age" sheetId="1" r:id="rId1"/>
    <sheet name="Sheet1" sheetId="2" r:id="rId2"/>
  </sheets>
  <definedNames>
    <definedName name="_xlnm.Print_Area" localSheetId="0">fall_enroll_age!$A$1:$AI$58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35" i="1" l="1"/>
  <c r="AI21" i="1"/>
  <c r="AH35" i="1" l="1"/>
  <c r="AG40" i="1" l="1"/>
  <c r="AG35" i="1"/>
  <c r="AG21" i="1"/>
  <c r="AF31" i="1" l="1"/>
  <c r="AF29" i="1"/>
  <c r="AF28" i="1"/>
  <c r="AF27" i="1"/>
  <c r="AF26" i="1"/>
  <c r="AF25" i="1"/>
  <c r="AF24" i="1"/>
  <c r="AF18" i="1"/>
  <c r="AF17" i="1"/>
  <c r="AF16" i="1"/>
  <c r="AF15" i="1"/>
  <c r="AF14" i="1"/>
  <c r="AF13" i="1"/>
  <c r="AF12" i="1"/>
  <c r="AF11" i="1"/>
  <c r="AF10" i="1"/>
  <c r="AE40" i="1"/>
  <c r="AE33" i="1"/>
  <c r="AE32" i="1"/>
  <c r="AE31" i="1"/>
  <c r="AE30" i="1"/>
  <c r="AE29" i="1"/>
  <c r="AE28" i="1"/>
  <c r="AE27" i="1"/>
  <c r="AE26" i="1"/>
  <c r="AE25" i="1"/>
  <c r="AE24" i="1"/>
  <c r="AE20" i="1"/>
  <c r="AE19" i="1"/>
  <c r="AE18" i="1"/>
  <c r="AE15" i="1"/>
  <c r="AE14" i="1"/>
  <c r="AE13" i="1"/>
  <c r="AE12" i="1"/>
  <c r="AE11" i="1"/>
  <c r="AE10" i="1"/>
  <c r="AE21" i="1" l="1"/>
  <c r="AE35" i="1"/>
  <c r="AD40" i="1"/>
  <c r="AD33" i="1"/>
  <c r="AD32" i="1"/>
  <c r="AD31" i="1"/>
  <c r="AD30" i="1"/>
  <c r="AD29" i="1"/>
  <c r="AD28" i="1"/>
  <c r="AD27" i="1"/>
  <c r="AD26" i="1"/>
  <c r="AD25" i="1"/>
  <c r="AD24" i="1"/>
  <c r="AD19" i="1"/>
  <c r="AD18" i="1"/>
  <c r="AD17" i="1"/>
  <c r="AD16" i="1"/>
  <c r="AD15" i="1"/>
  <c r="AD14" i="1"/>
  <c r="AD13" i="1"/>
  <c r="AD12" i="1"/>
  <c r="AD11" i="1"/>
  <c r="AD10" i="1"/>
  <c r="AD21" i="1" l="1"/>
  <c r="AD35" i="1"/>
  <c r="AF21" i="1"/>
  <c r="AC40" i="1"/>
  <c r="AC33" i="1"/>
  <c r="AC32" i="1"/>
  <c r="AC31" i="1"/>
  <c r="AC30" i="1"/>
  <c r="AC29" i="1"/>
  <c r="AC28" i="1"/>
  <c r="AC27" i="1"/>
  <c r="AC26" i="1"/>
  <c r="AC25" i="1"/>
  <c r="AC24" i="1"/>
  <c r="AC19" i="1"/>
  <c r="AC18" i="1"/>
  <c r="AC17" i="1"/>
  <c r="AC16" i="1"/>
  <c r="AC15" i="1"/>
  <c r="AC14" i="1"/>
  <c r="AC13" i="1"/>
  <c r="AC12" i="1"/>
  <c r="AC11" i="1"/>
  <c r="AC10" i="1"/>
  <c r="AC35" i="1" l="1"/>
  <c r="AC21" i="1"/>
  <c r="AB40" i="1"/>
  <c r="AB33" i="1"/>
  <c r="AB32" i="1"/>
  <c r="AB31" i="1"/>
  <c r="AB30" i="1"/>
  <c r="AB29" i="1"/>
  <c r="AB28" i="1"/>
  <c r="AB27" i="1"/>
  <c r="AB26" i="1"/>
  <c r="AB25" i="1"/>
  <c r="AB24" i="1"/>
  <c r="AB19" i="1"/>
  <c r="AB18" i="1"/>
  <c r="AB17" i="1"/>
  <c r="AB16" i="1"/>
  <c r="AB15" i="1"/>
  <c r="AB14" i="1"/>
  <c r="AB13" i="1"/>
  <c r="AB12" i="1"/>
  <c r="AB11" i="1"/>
  <c r="AB10" i="1"/>
  <c r="AB21" i="1" l="1"/>
  <c r="AB35" i="1"/>
  <c r="AA40" i="1"/>
  <c r="AA33" i="1"/>
  <c r="AA32" i="1"/>
  <c r="AA31" i="1"/>
  <c r="AA30" i="1"/>
  <c r="AA29" i="1"/>
  <c r="AA28" i="1"/>
  <c r="AA27" i="1"/>
  <c r="AA26" i="1"/>
  <c r="AA25" i="1"/>
  <c r="AA24" i="1"/>
  <c r="AA18" i="1"/>
  <c r="AA17" i="1"/>
  <c r="AA16" i="1"/>
  <c r="AA15" i="1"/>
  <c r="AA14" i="1"/>
  <c r="AA13" i="1"/>
  <c r="AA12" i="1"/>
  <c r="AA11" i="1"/>
  <c r="AA10" i="1"/>
  <c r="AA21" i="1" l="1"/>
  <c r="AA35" i="1"/>
  <c r="Z40" i="1"/>
  <c r="Z33" i="1"/>
  <c r="Z32" i="1"/>
  <c r="Z31" i="1"/>
  <c r="Z30" i="1"/>
  <c r="Z29" i="1"/>
  <c r="Z28" i="1"/>
  <c r="Z27" i="1"/>
  <c r="Z26" i="1"/>
  <c r="Z25" i="1"/>
  <c r="Z24" i="1"/>
  <c r="Z18" i="1"/>
  <c r="Z17" i="1"/>
  <c r="Z16" i="1"/>
  <c r="Z15" i="1"/>
  <c r="Z14" i="1"/>
  <c r="Z13" i="1"/>
  <c r="Z12" i="1"/>
  <c r="Z11" i="1"/>
  <c r="Z10" i="1"/>
  <c r="Z35" i="1" l="1"/>
  <c r="Z21" i="1"/>
  <c r="Y40" i="1"/>
  <c r="Y33" i="1"/>
  <c r="Y32" i="1"/>
  <c r="Y31" i="1"/>
  <c r="Y30" i="1"/>
  <c r="Y29" i="1"/>
  <c r="Y28" i="1"/>
  <c r="Y27" i="1"/>
  <c r="Y26" i="1"/>
  <c r="Y25" i="1"/>
  <c r="Y24" i="1"/>
  <c r="Y18" i="1"/>
  <c r="Y17" i="1"/>
  <c r="Y16" i="1"/>
  <c r="Y15" i="1"/>
  <c r="Y14" i="1"/>
  <c r="Y13" i="1"/>
  <c r="Y12" i="1"/>
  <c r="Y11" i="1"/>
  <c r="Y10" i="1"/>
  <c r="Y35" i="1" l="1"/>
  <c r="Y21" i="1"/>
  <c r="AF40" i="1"/>
  <c r="AF35" i="1"/>
  <c r="X33" i="1" l="1"/>
  <c r="X32" i="1"/>
  <c r="X31" i="1"/>
  <c r="X30" i="1"/>
  <c r="X29" i="1"/>
  <c r="X28" i="1"/>
  <c r="X27" i="1"/>
  <c r="X26" i="1"/>
  <c r="X25" i="1"/>
  <c r="X24" i="1"/>
  <c r="X18" i="1"/>
  <c r="X17" i="1"/>
  <c r="X16" i="1"/>
  <c r="X15" i="1"/>
  <c r="X14" i="1"/>
  <c r="X13" i="1"/>
  <c r="X12" i="1"/>
  <c r="X11" i="1"/>
  <c r="X10" i="1"/>
  <c r="W40" i="1" l="1"/>
  <c r="W33" i="1"/>
  <c r="W32" i="1"/>
  <c r="W31" i="1"/>
  <c r="W30" i="1"/>
  <c r="W29" i="1"/>
  <c r="W28" i="1"/>
  <c r="W27" i="1"/>
  <c r="W26" i="1"/>
  <c r="W25" i="1"/>
  <c r="W24" i="1"/>
  <c r="W19" i="1"/>
  <c r="W18" i="1"/>
  <c r="W17" i="1"/>
  <c r="W16" i="1"/>
  <c r="W15" i="1"/>
  <c r="W14" i="1"/>
  <c r="W13" i="1"/>
  <c r="W12" i="1"/>
  <c r="W11" i="1"/>
  <c r="W10" i="1"/>
  <c r="W35" i="1" l="1"/>
  <c r="W21" i="1"/>
  <c r="V40" i="1"/>
  <c r="V33" i="1"/>
  <c r="V32" i="1"/>
  <c r="V31" i="1"/>
  <c r="V30" i="1"/>
  <c r="V29" i="1"/>
  <c r="V28" i="1"/>
  <c r="V27" i="1"/>
  <c r="V26" i="1"/>
  <c r="V25" i="1"/>
  <c r="V24" i="1"/>
  <c r="V19" i="1"/>
  <c r="V18" i="1"/>
  <c r="V17" i="1"/>
  <c r="V16" i="1"/>
  <c r="V15" i="1"/>
  <c r="V14" i="1"/>
  <c r="V13" i="1"/>
  <c r="V12" i="1"/>
  <c r="V11" i="1"/>
  <c r="V10" i="1"/>
  <c r="U40" i="1"/>
  <c r="U33" i="1"/>
  <c r="U32" i="1"/>
  <c r="U31" i="1"/>
  <c r="U30" i="1"/>
  <c r="U29" i="1"/>
  <c r="U28" i="1"/>
  <c r="U27" i="1"/>
  <c r="U26" i="1"/>
  <c r="U25" i="1"/>
  <c r="U24" i="1"/>
  <c r="U19" i="1"/>
  <c r="U18" i="1"/>
  <c r="U17" i="1"/>
  <c r="U16" i="1"/>
  <c r="U15" i="1"/>
  <c r="U14" i="1"/>
  <c r="U13" i="1"/>
  <c r="U12" i="1"/>
  <c r="U11" i="1"/>
  <c r="U10" i="1"/>
  <c r="T33" i="1"/>
  <c r="T32" i="1"/>
  <c r="T31" i="1"/>
  <c r="T30" i="1"/>
  <c r="T29" i="1"/>
  <c r="T28" i="1"/>
  <c r="T27" i="1"/>
  <c r="T26" i="1"/>
  <c r="T25" i="1"/>
  <c r="T24" i="1"/>
  <c r="T19" i="1"/>
  <c r="T18" i="1"/>
  <c r="T17" i="1"/>
  <c r="T16" i="1"/>
  <c r="T15" i="1"/>
  <c r="T14" i="1"/>
  <c r="T13" i="1"/>
  <c r="T12" i="1"/>
  <c r="T11" i="1"/>
  <c r="T10" i="1"/>
  <c r="T40" i="1"/>
  <c r="S40" i="1"/>
  <c r="S34" i="1"/>
  <c r="S33" i="1"/>
  <c r="S32" i="1"/>
  <c r="S31" i="1"/>
  <c r="S30" i="1"/>
  <c r="S29" i="1"/>
  <c r="S28" i="1"/>
  <c r="S27" i="1"/>
  <c r="S26" i="1"/>
  <c r="S25" i="1"/>
  <c r="S24" i="1"/>
  <c r="S19" i="1"/>
  <c r="S18" i="1"/>
  <c r="S17" i="1"/>
  <c r="S16" i="1"/>
  <c r="S15" i="1"/>
  <c r="S14" i="1"/>
  <c r="S13" i="1"/>
  <c r="S12" i="1"/>
  <c r="S11" i="1"/>
  <c r="S10" i="1"/>
  <c r="R10" i="1"/>
  <c r="R40" i="1"/>
  <c r="R24" i="1"/>
  <c r="R25" i="1"/>
  <c r="R26" i="1"/>
  <c r="R27" i="1"/>
  <c r="R28" i="1"/>
  <c r="R29" i="1"/>
  <c r="R30" i="1"/>
  <c r="R31" i="1"/>
  <c r="R32" i="1"/>
  <c r="R33" i="1"/>
  <c r="R11" i="1"/>
  <c r="R12" i="1"/>
  <c r="R13" i="1"/>
  <c r="R14" i="1"/>
  <c r="R15" i="1"/>
  <c r="R16" i="1"/>
  <c r="R17" i="1"/>
  <c r="R18" i="1"/>
  <c r="X40" i="1"/>
  <c r="O40" i="1" s="1"/>
  <c r="N40" i="1" s="1"/>
  <c r="M40" i="1" s="1"/>
  <c r="L40" i="1" s="1"/>
  <c r="K40" i="1" s="1"/>
  <c r="J40" i="1" s="1"/>
  <c r="I40" i="1" s="1"/>
  <c r="H40" i="1" s="1"/>
  <c r="G40" i="1" s="1"/>
  <c r="F40" i="1" s="1"/>
  <c r="E40" i="1" s="1"/>
  <c r="D40" i="1" s="1"/>
  <c r="Q24" i="1"/>
  <c r="Q25" i="1"/>
  <c r="Q26" i="1"/>
  <c r="Q27" i="1"/>
  <c r="Q28" i="1"/>
  <c r="Q29" i="1"/>
  <c r="Q30" i="1"/>
  <c r="Q31" i="1"/>
  <c r="Q32" i="1"/>
  <c r="Q33" i="1"/>
  <c r="Q34" i="1"/>
  <c r="Q10" i="1"/>
  <c r="Q11" i="1"/>
  <c r="Q12" i="1"/>
  <c r="Q13" i="1"/>
  <c r="Q14" i="1"/>
  <c r="Q15" i="1"/>
  <c r="Q16" i="1"/>
  <c r="Q17" i="1"/>
  <c r="Q18" i="1"/>
  <c r="Q19" i="1"/>
  <c r="P24" i="1"/>
  <c r="P25" i="1"/>
  <c r="P26" i="1"/>
  <c r="P27" i="1"/>
  <c r="P28" i="1"/>
  <c r="P29" i="1"/>
  <c r="P30" i="1"/>
  <c r="P31" i="1"/>
  <c r="P32" i="1"/>
  <c r="P33" i="1"/>
  <c r="P10" i="1"/>
  <c r="P11" i="1"/>
  <c r="P12" i="1"/>
  <c r="P13" i="1"/>
  <c r="P14" i="1"/>
  <c r="P15" i="1"/>
  <c r="P16" i="1"/>
  <c r="P17" i="1"/>
  <c r="P18" i="1"/>
  <c r="P19" i="1"/>
  <c r="O24" i="1"/>
  <c r="O25" i="1"/>
  <c r="O26" i="1"/>
  <c r="O27" i="1"/>
  <c r="O28" i="1"/>
  <c r="O29" i="1"/>
  <c r="O30" i="1"/>
  <c r="O31" i="1"/>
  <c r="O32" i="1"/>
  <c r="O33" i="1"/>
  <c r="N24" i="1"/>
  <c r="N25" i="1"/>
  <c r="N26" i="1"/>
  <c r="N27" i="1"/>
  <c r="N28" i="1"/>
  <c r="N29" i="1"/>
  <c r="N30" i="1"/>
  <c r="N31" i="1"/>
  <c r="N32" i="1"/>
  <c r="N33" i="1"/>
  <c r="M24" i="1"/>
  <c r="M25" i="1"/>
  <c r="M26" i="1"/>
  <c r="M27" i="1"/>
  <c r="M28" i="1"/>
  <c r="M29" i="1"/>
  <c r="M30" i="1"/>
  <c r="M31" i="1"/>
  <c r="M32" i="1"/>
  <c r="M33" i="1"/>
  <c r="M34" i="1"/>
  <c r="L24" i="1"/>
  <c r="L25" i="1"/>
  <c r="L26" i="1"/>
  <c r="L27" i="1"/>
  <c r="L28" i="1"/>
  <c r="L29" i="1"/>
  <c r="L30" i="1"/>
  <c r="L31" i="1"/>
  <c r="L32" i="1"/>
  <c r="L33" i="1"/>
  <c r="L34" i="1"/>
  <c r="K24" i="1"/>
  <c r="K25" i="1"/>
  <c r="K26" i="1"/>
  <c r="K27" i="1"/>
  <c r="K28" i="1"/>
  <c r="K29" i="1"/>
  <c r="K30" i="1"/>
  <c r="K31" i="1"/>
  <c r="K32" i="1"/>
  <c r="K33" i="1"/>
  <c r="K34" i="1"/>
  <c r="J24" i="1"/>
  <c r="J25" i="1"/>
  <c r="J26" i="1"/>
  <c r="J27" i="1"/>
  <c r="J28" i="1"/>
  <c r="J29" i="1"/>
  <c r="J30" i="1"/>
  <c r="J31" i="1"/>
  <c r="J32" i="1"/>
  <c r="J34" i="1"/>
  <c r="I24" i="1"/>
  <c r="I25" i="1"/>
  <c r="I26" i="1"/>
  <c r="I27" i="1"/>
  <c r="I28" i="1"/>
  <c r="I29" i="1"/>
  <c r="I30" i="1"/>
  <c r="I31" i="1"/>
  <c r="I32" i="1"/>
  <c r="I33" i="1"/>
  <c r="H24" i="1"/>
  <c r="H25" i="1"/>
  <c r="H26" i="1"/>
  <c r="H27" i="1"/>
  <c r="H28" i="1"/>
  <c r="H29" i="1"/>
  <c r="H30" i="1"/>
  <c r="H31" i="1"/>
  <c r="H32" i="1"/>
  <c r="H33" i="1"/>
  <c r="G24" i="1"/>
  <c r="G25" i="1"/>
  <c r="G26" i="1"/>
  <c r="G27" i="1"/>
  <c r="G28" i="1"/>
  <c r="G29" i="1"/>
  <c r="G30" i="1"/>
  <c r="G31" i="1"/>
  <c r="G32" i="1"/>
  <c r="G33" i="1"/>
  <c r="G34" i="1"/>
  <c r="F24" i="1"/>
  <c r="F25" i="1"/>
  <c r="F26" i="1"/>
  <c r="F27" i="1"/>
  <c r="F28" i="1"/>
  <c r="F29" i="1"/>
  <c r="F30" i="1"/>
  <c r="F31" i="1"/>
  <c r="F32" i="1"/>
  <c r="F33" i="1"/>
  <c r="E24" i="1"/>
  <c r="E25" i="1"/>
  <c r="E26" i="1"/>
  <c r="E27" i="1"/>
  <c r="E28" i="1"/>
  <c r="E29" i="1"/>
  <c r="E30" i="1"/>
  <c r="E31" i="1"/>
  <c r="E32" i="1"/>
  <c r="E33" i="1"/>
  <c r="E34" i="1"/>
  <c r="D24" i="1"/>
  <c r="D25" i="1"/>
  <c r="D26" i="1"/>
  <c r="D27" i="1"/>
  <c r="D28" i="1"/>
  <c r="D29" i="1"/>
  <c r="D30" i="1"/>
  <c r="D31" i="1"/>
  <c r="D32" i="1"/>
  <c r="D33" i="1"/>
  <c r="D34" i="1"/>
  <c r="O10" i="1"/>
  <c r="O11" i="1"/>
  <c r="O12" i="1"/>
  <c r="O13" i="1"/>
  <c r="O14" i="1"/>
  <c r="O15" i="1"/>
  <c r="O16" i="1"/>
  <c r="O17" i="1"/>
  <c r="O18" i="1"/>
  <c r="N10" i="1"/>
  <c r="N11" i="1"/>
  <c r="N12" i="1"/>
  <c r="N13" i="1"/>
  <c r="N14" i="1"/>
  <c r="N15" i="1"/>
  <c r="N16" i="1"/>
  <c r="N17" i="1"/>
  <c r="N18" i="1"/>
  <c r="N19" i="1"/>
  <c r="M10" i="1"/>
  <c r="M11" i="1"/>
  <c r="M12" i="1"/>
  <c r="M13" i="1"/>
  <c r="M14" i="1"/>
  <c r="M15" i="1"/>
  <c r="M16" i="1"/>
  <c r="M17" i="1"/>
  <c r="M18" i="1"/>
  <c r="L10" i="1"/>
  <c r="L11" i="1"/>
  <c r="L12" i="1"/>
  <c r="L13" i="1"/>
  <c r="L14" i="1"/>
  <c r="L15" i="1"/>
  <c r="L16" i="1"/>
  <c r="L17" i="1"/>
  <c r="L18" i="1"/>
  <c r="L20" i="1"/>
  <c r="K10" i="1"/>
  <c r="K11" i="1"/>
  <c r="K12" i="1"/>
  <c r="K13" i="1"/>
  <c r="K14" i="1"/>
  <c r="K15" i="1"/>
  <c r="K16" i="1"/>
  <c r="K17" i="1"/>
  <c r="K18" i="1"/>
  <c r="K20" i="1"/>
  <c r="J10" i="1"/>
  <c r="J11" i="1"/>
  <c r="J12" i="1"/>
  <c r="J13" i="1"/>
  <c r="J14" i="1"/>
  <c r="J15" i="1"/>
  <c r="J16" i="1"/>
  <c r="J17" i="1"/>
  <c r="J18" i="1"/>
  <c r="J19" i="1"/>
  <c r="I10" i="1"/>
  <c r="I11" i="1"/>
  <c r="I12" i="1"/>
  <c r="I13" i="1"/>
  <c r="I14" i="1"/>
  <c r="I15" i="1"/>
  <c r="I16" i="1"/>
  <c r="I17" i="1"/>
  <c r="I18" i="1"/>
  <c r="H10" i="1"/>
  <c r="H11" i="1"/>
  <c r="H12" i="1"/>
  <c r="H13" i="1"/>
  <c r="H14" i="1"/>
  <c r="H15" i="1"/>
  <c r="H16" i="1"/>
  <c r="H17" i="1"/>
  <c r="H18" i="1"/>
  <c r="H19" i="1"/>
  <c r="G10" i="1"/>
  <c r="G11" i="1"/>
  <c r="G12" i="1"/>
  <c r="G13" i="1"/>
  <c r="G14" i="1"/>
  <c r="G15" i="1"/>
  <c r="G16" i="1"/>
  <c r="G17" i="1"/>
  <c r="G18" i="1"/>
  <c r="G20" i="1"/>
  <c r="F10" i="1"/>
  <c r="F11" i="1"/>
  <c r="F12" i="1"/>
  <c r="F13" i="1"/>
  <c r="F14" i="1"/>
  <c r="F15" i="1"/>
  <c r="F16" i="1"/>
  <c r="F17" i="1"/>
  <c r="F18" i="1"/>
  <c r="F19" i="1"/>
  <c r="E10" i="1"/>
  <c r="E11" i="1"/>
  <c r="E12" i="1"/>
  <c r="E13" i="1"/>
  <c r="E14" i="1"/>
  <c r="E15" i="1"/>
  <c r="E16" i="1"/>
  <c r="E17" i="1"/>
  <c r="E18" i="1"/>
  <c r="D10" i="1"/>
  <c r="D11" i="1"/>
  <c r="D12" i="1"/>
  <c r="D13" i="1"/>
  <c r="D14" i="1"/>
  <c r="D15" i="1"/>
  <c r="D16" i="1"/>
  <c r="D17" i="1"/>
  <c r="D18" i="1"/>
  <c r="D19" i="1"/>
  <c r="X21" i="1"/>
  <c r="X35" i="1"/>
  <c r="R21" i="1" l="1"/>
  <c r="V21" i="1"/>
  <c r="U35" i="1"/>
  <c r="E21" i="1"/>
  <c r="I35" i="1"/>
  <c r="P21" i="1"/>
  <c r="T21" i="1"/>
  <c r="T35" i="1"/>
  <c r="H21" i="1"/>
  <c r="J21" i="1"/>
  <c r="K21" i="1"/>
  <c r="G35" i="1"/>
  <c r="Q35" i="1"/>
  <c r="J35" i="1"/>
  <c r="S21" i="1"/>
  <c r="S35" i="1"/>
  <c r="R35" i="1"/>
  <c r="U21" i="1"/>
  <c r="V35" i="1"/>
  <c r="M35" i="1"/>
  <c r="G21" i="1"/>
  <c r="D35" i="1"/>
  <c r="P35" i="1"/>
  <c r="Q21" i="1"/>
  <c r="D21" i="1"/>
  <c r="I21" i="1"/>
  <c r="L21" i="1"/>
  <c r="M21" i="1"/>
  <c r="N21" i="1"/>
  <c r="K35" i="1"/>
  <c r="L35" i="1"/>
  <c r="N35" i="1"/>
  <c r="O35" i="1"/>
  <c r="F21" i="1"/>
  <c r="O21" i="1"/>
  <c r="H35" i="1"/>
  <c r="F35" i="1"/>
  <c r="E35" i="1"/>
</calcChain>
</file>

<file path=xl/sharedStrings.xml><?xml version="1.0" encoding="utf-8"?>
<sst xmlns="http://schemas.openxmlformats.org/spreadsheetml/2006/main" count="52" uniqueCount="31">
  <si>
    <t>UNIVERSITY OF MISSOURI-ST. LOUIS</t>
  </si>
  <si>
    <t>TABLE 1-4. FALL ENROLLMENT BY AGE</t>
  </si>
  <si>
    <t>(Headcount)</t>
  </si>
  <si>
    <t>ON- AND OFF-CAMPUS</t>
  </si>
  <si>
    <t>Full-Time</t>
  </si>
  <si>
    <t>1992</t>
  </si>
  <si>
    <t>1993</t>
  </si>
  <si>
    <t>1994</t>
  </si>
  <si>
    <t>1995</t>
  </si>
  <si>
    <t>1996</t>
  </si>
  <si>
    <t>1997</t>
  </si>
  <si>
    <t>1998</t>
  </si>
  <si>
    <t>Under 18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</si>
  <si>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</si>
  <si>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</si>
  <si>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</si>
  <si>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</si>
  <si>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</si>
  <si>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</si>
  <si>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</si>
  <si>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</si>
  <si>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65 and over</t>
  </si>
  <si>
    <t>Unknown</t>
  </si>
  <si>
    <t>TOTAL</t>
  </si>
  <si>
    <t>Part-Time</t>
  </si>
  <si>
    <t xml:space="preserve">AVERAGE AGE  </t>
  </si>
  <si>
    <t>On Campus</t>
  </si>
  <si>
    <t>Total</t>
  </si>
  <si>
    <t>Off Campus</t>
  </si>
  <si>
    <t>Source: IPEDS-EF-1 (most recent Fall 2022)</t>
  </si>
  <si>
    <t>Source: University Integrated Data System (UIDS), University of Missouri-St. Louis, Office of Institutional Research (Fall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</si>
</sst>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_);\(0.0\)"/>
  </numFmts>
  <fonts count="5" x14ac:knownFonts="1">
    <font>
      <sz val="10"/>
      <name val="Arial"/>
    </font>
    <font>
      <sz val="9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u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5" xfId="0" quotePrefix="1" applyFont="1" applyBorder="1" applyAlignment="1">
      <alignment horizontal="right"/>
    </xf>
    <xf numFmtId="3" fontId="1" fillId="0" borderId="0" xfId="0" applyNumberFormat="1" applyFont="1"/>
    <xf numFmtId="0" fontId="3" fillId="0" borderId="3" xfId="0" applyFont="1" applyBorder="1"/>
    <xf numFmtId="0" fontId="3" fillId="0" borderId="0" xfId="0" applyFont="1"/>
    <xf numFmtId="3" fontId="3" fillId="0" borderId="6" xfId="0" applyNumberFormat="1" applyFont="1" applyBorder="1"/>
    <xf numFmtId="3" fontId="3" fillId="0" borderId="0" xfId="0" applyNumberFormat="1" applyFont="1"/>
    <xf numFmtId="0" fontId="3" fillId="0" borderId="5" xfId="0" applyFont="1" applyBorder="1"/>
    <xf numFmtId="164" fontId="3" fillId="0" borderId="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1" fillId="0" borderId="8" xfId="0" applyFont="1" applyBorder="1"/>
    <xf numFmtId="0" fontId="1" fillId="0" borderId="5" xfId="0" applyFont="1" applyBorder="1"/>
    <xf numFmtId="164" fontId="3" fillId="0" borderId="0" xfId="0" applyNumberFormat="1" applyFont="1"/>
    <xf numFmtId="164" fontId="0" fillId="0" borderId="0" xfId="0" applyNumberFormat="1"/>
    <xf numFmtId="3" fontId="0" fillId="0" borderId="0" xfId="0" applyNumberFormat="1"/>
    <xf numFmtId="0" fontId="3" fillId="0" borderId="7" xfId="0" quotePrefix="1" applyFont="1" applyBorder="1" applyAlignment="1">
      <alignment horizontal="right"/>
    </xf>
    <xf numFmtId="0" fontId="3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28575</xdr:rowOff>
    </xdr:from>
    <xdr:to>
      <xdr:col>1</xdr:col>
      <xdr:colOff>971550</xdr:colOff>
      <xdr:row>3</xdr:row>
      <xdr:rowOff>142875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0500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showGridLines="0" tabSelected="1" workbookViewId="0">
      <selection activeCell="AJ8" sqref="AJ8"/>
    </sheetView>
  </sheetViews>
  <sheetFormatPr defaultRowHeight="12.75" x14ac:dyDescent="0.2"/>
  <cols>
    <col min="1" max="1" width="2.140625" customWidth="1"/>
    <col min="2" max="2" width="15.5703125" customWidth="1"/>
    <col min="3" max="3" width="2.42578125" customWidth="1"/>
    <col min="4" max="25" width="8.42578125" hidden="1" customWidth="1"/>
    <col min="26" max="35" width="8.42578125" customWidth="1"/>
  </cols>
  <sheetData>
    <row r="1" spans="1:35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">
      <c r="A2" s="3"/>
      <c r="B2" s="4"/>
      <c r="C2" s="5" t="s">
        <v>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">
      <c r="A3" s="3"/>
      <c r="B3" s="4"/>
      <c r="C3" s="6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3.5" thickBot="1" x14ac:dyDescent="0.25">
      <c r="A4" s="3"/>
      <c r="B4" s="6"/>
      <c r="C4" s="8" t="s">
        <v>2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:35" ht="13.5" thickTop="1" x14ac:dyDescent="0.2">
      <c r="A5" s="3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</row>
    <row r="6" spans="1:35" x14ac:dyDescent="0.2">
      <c r="A6" s="3"/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x14ac:dyDescent="0.2">
      <c r="A7" s="3"/>
      <c r="B7" s="10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</row>
    <row r="8" spans="1:35" x14ac:dyDescent="0.2">
      <c r="A8" s="3"/>
      <c r="B8" s="4"/>
      <c r="C8" s="4"/>
      <c r="D8" s="29" t="s">
        <v>3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7"/>
      <c r="AI8" s="7"/>
    </row>
    <row r="9" spans="1:35" x14ac:dyDescent="0.2">
      <c r="A9" s="3"/>
      <c r="B9" s="12" t="s">
        <v>4</v>
      </c>
      <c r="C9" s="12"/>
      <c r="D9" s="13" t="s">
        <v>5</v>
      </c>
      <c r="E9" s="13" t="s">
        <v>6</v>
      </c>
      <c r="F9" s="13" t="s">
        <v>7</v>
      </c>
      <c r="G9" s="13" t="s">
        <v>8</v>
      </c>
      <c r="H9" s="13" t="s">
        <v>9</v>
      </c>
      <c r="I9" s="13" t="s">
        <v>10</v>
      </c>
      <c r="J9" s="13" t="s">
        <v>11</v>
      </c>
      <c r="K9" s="13">
        <v>1999</v>
      </c>
      <c r="L9" s="13">
        <v>2000</v>
      </c>
      <c r="M9" s="13">
        <v>2001</v>
      </c>
      <c r="N9" s="13">
        <v>2002</v>
      </c>
      <c r="O9" s="13">
        <v>2003</v>
      </c>
      <c r="P9" s="13">
        <v>2004</v>
      </c>
      <c r="Q9" s="13">
        <v>2005</v>
      </c>
      <c r="R9" s="13">
        <v>2006</v>
      </c>
      <c r="S9" s="13">
        <v>2007</v>
      </c>
      <c r="T9" s="13">
        <v>2008</v>
      </c>
      <c r="U9" s="13">
        <v>2009</v>
      </c>
      <c r="V9" s="13">
        <v>2010</v>
      </c>
      <c r="W9" s="13">
        <v>2011</v>
      </c>
      <c r="X9" s="13">
        <v>2013</v>
      </c>
      <c r="Y9" s="28">
        <v>2014</v>
      </c>
      <c r="Z9" s="28">
        <v>2015</v>
      </c>
      <c r="AA9" s="28">
        <v>2016</v>
      </c>
      <c r="AB9" s="28">
        <v>2017</v>
      </c>
      <c r="AC9" s="28">
        <v>2018</v>
      </c>
      <c r="AD9" s="28">
        <v>2019</v>
      </c>
      <c r="AE9" s="28">
        <v>2020</v>
      </c>
      <c r="AF9" s="28">
        <v>2021</v>
      </c>
      <c r="AG9" s="28">
        <v>2022</v>
      </c>
      <c r="AH9" s="28">
        <v>2023</v>
      </c>
      <c r="AI9" s="28">
        <v>2024</v>
      </c>
    </row>
    <row r="10" spans="1:35" x14ac:dyDescent="0.2">
      <c r="A10" s="3"/>
      <c r="B10" s="4" t="s">
        <v>12</v>
      </c>
      <c r="C10" s="4"/>
      <c r="D10" s="4">
        <f>32+42</f>
        <v>74</v>
      </c>
      <c r="E10" s="14">
        <f>36+34</f>
        <v>70</v>
      </c>
      <c r="F10" s="14">
        <f>44+70</f>
        <v>114</v>
      </c>
      <c r="G10" s="14">
        <f>40+64</f>
        <v>104</v>
      </c>
      <c r="H10" s="14">
        <f>26+40</f>
        <v>66</v>
      </c>
      <c r="I10" s="14">
        <f>28+42</f>
        <v>70</v>
      </c>
      <c r="J10" s="14">
        <f>69+81</f>
        <v>150</v>
      </c>
      <c r="K10" s="14">
        <f>146+188</f>
        <v>334</v>
      </c>
      <c r="L10" s="14">
        <f>29+36</f>
        <v>65</v>
      </c>
      <c r="M10" s="14">
        <f>17+40</f>
        <v>57</v>
      </c>
      <c r="N10" s="14">
        <f>24+66</f>
        <v>90</v>
      </c>
      <c r="O10" s="14">
        <f>15+41</f>
        <v>56</v>
      </c>
      <c r="P10" s="14">
        <f>9+28</f>
        <v>37</v>
      </c>
      <c r="Q10" s="14">
        <f>22+48</f>
        <v>70</v>
      </c>
      <c r="R10" s="14">
        <f>34+39</f>
        <v>73</v>
      </c>
      <c r="S10" s="14">
        <f>25+50</f>
        <v>75</v>
      </c>
      <c r="T10" s="14">
        <f>21+53</f>
        <v>74</v>
      </c>
      <c r="U10" s="14">
        <f>38+44</f>
        <v>82</v>
      </c>
      <c r="V10" s="14">
        <f>26+54</f>
        <v>80</v>
      </c>
      <c r="W10" s="14">
        <f>38+64</f>
        <v>102</v>
      </c>
      <c r="X10" s="14">
        <f>62+90</f>
        <v>152</v>
      </c>
      <c r="Y10" s="14">
        <f>49+80</f>
        <v>129</v>
      </c>
      <c r="Z10" s="14">
        <f>41+60</f>
        <v>101</v>
      </c>
      <c r="AA10" s="14">
        <f>64+75</f>
        <v>139</v>
      </c>
      <c r="AB10" s="14">
        <f>109+105</f>
        <v>214</v>
      </c>
      <c r="AC10" s="14">
        <f>101+135</f>
        <v>236</v>
      </c>
      <c r="AD10" s="14">
        <f>111+134</f>
        <v>245</v>
      </c>
      <c r="AE10" s="14">
        <f>87+114</f>
        <v>201</v>
      </c>
      <c r="AF10" s="14">
        <f>137+172</f>
        <v>309</v>
      </c>
      <c r="AG10" s="14">
        <v>293</v>
      </c>
      <c r="AH10" s="14">
        <v>351</v>
      </c>
      <c r="AI10" s="14">
        <v>363</v>
      </c>
    </row>
    <row r="11" spans="1:35" x14ac:dyDescent="0.2">
      <c r="A11" s="3"/>
      <c r="B11" s="4" t="s">
        <v>13</v>
      </c>
      <c r="C11" s="4"/>
      <c r="D11" s="4">
        <f>457+543</f>
        <v>1000</v>
      </c>
      <c r="E11" s="14">
        <f>405+470</f>
        <v>875</v>
      </c>
      <c r="F11" s="14">
        <f>422+576</f>
        <v>998</v>
      </c>
      <c r="G11" s="14">
        <f>424+603</f>
        <v>1027</v>
      </c>
      <c r="H11" s="14">
        <f>468+681</f>
        <v>1149</v>
      </c>
      <c r="I11" s="14">
        <f>421+608</f>
        <v>1029</v>
      </c>
      <c r="J11" s="14">
        <f>474+654</f>
        <v>1128</v>
      </c>
      <c r="K11" s="14">
        <f>547+731</f>
        <v>1278</v>
      </c>
      <c r="L11" s="14">
        <f>416+596</f>
        <v>1012</v>
      </c>
      <c r="M11" s="14">
        <f>388+645</f>
        <v>1033</v>
      </c>
      <c r="N11" s="14">
        <f>357+572</f>
        <v>929</v>
      </c>
      <c r="O11" s="14">
        <f>366+600</f>
        <v>966</v>
      </c>
      <c r="P11" s="14">
        <f>302+492</f>
        <v>794</v>
      </c>
      <c r="Q11" s="14">
        <f>356+558</f>
        <v>914</v>
      </c>
      <c r="R11" s="14">
        <f>379+575</f>
        <v>954</v>
      </c>
      <c r="S11" s="14">
        <f>348+550</f>
        <v>898</v>
      </c>
      <c r="T11" s="14">
        <f>345+547</f>
        <v>892</v>
      </c>
      <c r="U11" s="14">
        <f>302+557</f>
        <v>859</v>
      </c>
      <c r="V11" s="14">
        <f>340+559</f>
        <v>899</v>
      </c>
      <c r="W11" s="14">
        <f>332+544</f>
        <v>876</v>
      </c>
      <c r="X11" s="14">
        <f>348+568</f>
        <v>916</v>
      </c>
      <c r="Y11" s="14">
        <f>345+583</f>
        <v>928</v>
      </c>
      <c r="Z11" s="14">
        <f>351+537</f>
        <v>888</v>
      </c>
      <c r="AA11" s="14">
        <f>329+468</f>
        <v>797</v>
      </c>
      <c r="AB11" s="14">
        <f>349+461</f>
        <v>810</v>
      </c>
      <c r="AC11" s="14">
        <f>350+506</f>
        <v>856</v>
      </c>
      <c r="AD11" s="14">
        <f>344+524</f>
        <v>868</v>
      </c>
      <c r="AE11" s="14">
        <f>328+444</f>
        <v>772</v>
      </c>
      <c r="AF11" s="14">
        <f>260+312</f>
        <v>572</v>
      </c>
      <c r="AG11" s="14">
        <v>665</v>
      </c>
      <c r="AH11" s="14">
        <v>745</v>
      </c>
      <c r="AI11" s="14">
        <v>803</v>
      </c>
    </row>
    <row r="12" spans="1:35" x14ac:dyDescent="0.2">
      <c r="A12" s="3"/>
      <c r="B12" s="4" t="s">
        <v>14</v>
      </c>
      <c r="C12" s="4"/>
      <c r="D12" s="4">
        <f>658+914</f>
        <v>1572</v>
      </c>
      <c r="E12" s="14">
        <f>665+860</f>
        <v>1525</v>
      </c>
      <c r="F12" s="14">
        <f>594+919</f>
        <v>1513</v>
      </c>
      <c r="G12" s="14">
        <f>557+910</f>
        <v>1467</v>
      </c>
      <c r="H12" s="14">
        <f>549+907</f>
        <v>1456</v>
      </c>
      <c r="I12" s="14">
        <f>577+923</f>
        <v>1500</v>
      </c>
      <c r="J12" s="14">
        <f>659+1046</f>
        <v>1705</v>
      </c>
      <c r="K12" s="14">
        <f>640+1067</f>
        <v>1707</v>
      </c>
      <c r="L12" s="14">
        <f>659+1097</f>
        <v>1756</v>
      </c>
      <c r="M12" s="14">
        <f>684+1134</f>
        <v>1818</v>
      </c>
      <c r="N12" s="14">
        <f>678+1138</f>
        <v>1816</v>
      </c>
      <c r="O12" s="14">
        <f>695+1116</f>
        <v>1811</v>
      </c>
      <c r="P12" s="14">
        <f>647+1069</f>
        <v>1716</v>
      </c>
      <c r="Q12" s="14">
        <f>631+1012</f>
        <v>1643</v>
      </c>
      <c r="R12" s="14">
        <f>642+1035</f>
        <v>1677</v>
      </c>
      <c r="S12" s="14">
        <f>743+1015</f>
        <v>1758</v>
      </c>
      <c r="T12" s="14">
        <f>693+1021</f>
        <v>1714</v>
      </c>
      <c r="U12" s="14">
        <f>678+1076</f>
        <v>1754</v>
      </c>
      <c r="V12" s="14">
        <f>604+1070</f>
        <v>1674</v>
      </c>
      <c r="W12" s="14">
        <f>607+1006</f>
        <v>1613</v>
      </c>
      <c r="X12" s="14">
        <f>650+1008</f>
        <v>1658</v>
      </c>
      <c r="Y12" s="14">
        <f>691+1009</f>
        <v>1700</v>
      </c>
      <c r="Z12" s="14">
        <f>649+1011</f>
        <v>1660</v>
      </c>
      <c r="AA12" s="14">
        <f>658+979</f>
        <v>1637</v>
      </c>
      <c r="AB12" s="14">
        <f>661+983</f>
        <v>1644</v>
      </c>
      <c r="AC12" s="14">
        <f>649+893+8+13</f>
        <v>1563</v>
      </c>
      <c r="AD12" s="14">
        <f>584+858</f>
        <v>1442</v>
      </c>
      <c r="AE12" s="14">
        <f>586+898</f>
        <v>1484</v>
      </c>
      <c r="AF12" s="14">
        <f>556+836</f>
        <v>1392</v>
      </c>
      <c r="AG12" s="14">
        <v>1221</v>
      </c>
      <c r="AH12" s="14">
        <v>1180</v>
      </c>
      <c r="AI12" s="14">
        <v>1159</v>
      </c>
    </row>
    <row r="13" spans="1:35" x14ac:dyDescent="0.2">
      <c r="A13" s="3"/>
      <c r="B13" s="4" t="s">
        <v>15</v>
      </c>
      <c r="C13" s="4"/>
      <c r="D13" s="4">
        <f>726+714</f>
        <v>1440</v>
      </c>
      <c r="E13" s="14">
        <f>790+806</f>
        <v>1596</v>
      </c>
      <c r="F13" s="14">
        <f>772+899</f>
        <v>1671</v>
      </c>
      <c r="G13" s="14">
        <f>595+858</f>
        <v>1453</v>
      </c>
      <c r="H13" s="14">
        <f>620+783</f>
        <v>1403</v>
      </c>
      <c r="I13" s="14">
        <f>611+794</f>
        <v>1405</v>
      </c>
      <c r="J13" s="14">
        <f>663+754</f>
        <v>1417</v>
      </c>
      <c r="K13" s="14">
        <f>577+758</f>
        <v>1335</v>
      </c>
      <c r="L13" s="14">
        <f>726+933</f>
        <v>1659</v>
      </c>
      <c r="M13" s="14">
        <f>788+1004</f>
        <v>1792</v>
      </c>
      <c r="N13" s="14">
        <f>843+1080</f>
        <v>1923</v>
      </c>
      <c r="O13" s="14">
        <f>808+1119</f>
        <v>1927</v>
      </c>
      <c r="P13" s="14">
        <f>838+1213</f>
        <v>2051</v>
      </c>
      <c r="Q13" s="14">
        <f>950+1327</f>
        <v>2277</v>
      </c>
      <c r="R13" s="14">
        <f>907+1237</f>
        <v>2144</v>
      </c>
      <c r="S13" s="14">
        <f>974+1254</f>
        <v>2228</v>
      </c>
      <c r="T13" s="14">
        <f>992+1212</f>
        <v>2204</v>
      </c>
      <c r="U13" s="14">
        <f>1015+1234</f>
        <v>2249</v>
      </c>
      <c r="V13" s="14">
        <f>977+1267</f>
        <v>2244</v>
      </c>
      <c r="W13" s="14">
        <f>924+1299</f>
        <v>2223</v>
      </c>
      <c r="X13" s="14">
        <f>968+1203</f>
        <v>2171</v>
      </c>
      <c r="Y13" s="14">
        <f>889+1200</f>
        <v>2089</v>
      </c>
      <c r="Z13" s="14">
        <f>870+1122</f>
        <v>1992</v>
      </c>
      <c r="AA13" s="14">
        <f>848+1116</f>
        <v>1964</v>
      </c>
      <c r="AB13" s="14">
        <f>881+1085</f>
        <v>1966</v>
      </c>
      <c r="AC13" s="14">
        <f>730+846+99+236</f>
        <v>1911</v>
      </c>
      <c r="AD13" s="14">
        <f>782+1016</f>
        <v>1798</v>
      </c>
      <c r="AE13" s="14">
        <f>694+989</f>
        <v>1683</v>
      </c>
      <c r="AF13" s="14">
        <f>641+841</f>
        <v>1482</v>
      </c>
      <c r="AG13" s="14">
        <v>1460</v>
      </c>
      <c r="AH13" s="14">
        <v>1409</v>
      </c>
      <c r="AI13" s="14">
        <v>1023</v>
      </c>
    </row>
    <row r="14" spans="1:35" x14ac:dyDescent="0.2">
      <c r="A14" s="3"/>
      <c r="B14" s="4" t="s">
        <v>16</v>
      </c>
      <c r="C14" s="4"/>
      <c r="D14" s="4">
        <f>312+307</f>
        <v>619</v>
      </c>
      <c r="E14" s="14">
        <f>437+451</f>
        <v>888</v>
      </c>
      <c r="F14" s="14">
        <f>413+528</f>
        <v>941</v>
      </c>
      <c r="G14" s="14">
        <f>367+390</f>
        <v>757</v>
      </c>
      <c r="H14" s="14">
        <f>366+460</f>
        <v>826</v>
      </c>
      <c r="I14" s="14">
        <f>346+412</f>
        <v>758</v>
      </c>
      <c r="J14" s="14">
        <f>365+382</f>
        <v>747</v>
      </c>
      <c r="K14" s="14">
        <f>325+401</f>
        <v>726</v>
      </c>
      <c r="L14" s="14">
        <f>424+450</f>
        <v>874</v>
      </c>
      <c r="M14" s="14">
        <f>392+415</f>
        <v>807</v>
      </c>
      <c r="N14" s="14">
        <f>427+476</f>
        <v>903</v>
      </c>
      <c r="O14" s="14">
        <f>426+488</f>
        <v>914</v>
      </c>
      <c r="P14" s="14">
        <f>432+548</f>
        <v>980</v>
      </c>
      <c r="Q14" s="14">
        <f>472+613</f>
        <v>1085</v>
      </c>
      <c r="R14" s="14">
        <f>502+570</f>
        <v>1072</v>
      </c>
      <c r="S14" s="14">
        <f>534+599</f>
        <v>1133</v>
      </c>
      <c r="T14" s="14">
        <f>509+593</f>
        <v>1102</v>
      </c>
      <c r="U14" s="14">
        <f>549+667</f>
        <v>1216</v>
      </c>
      <c r="V14" s="14">
        <f>665+724</f>
        <v>1389</v>
      </c>
      <c r="W14" s="14">
        <f>664+666</f>
        <v>1330</v>
      </c>
      <c r="X14" s="14">
        <f>538+631</f>
        <v>1169</v>
      </c>
      <c r="Y14" s="14">
        <f>537+652</f>
        <v>1189</v>
      </c>
      <c r="Z14" s="14">
        <f>573+595</f>
        <v>1168</v>
      </c>
      <c r="AA14" s="14">
        <f>508+596</f>
        <v>1104</v>
      </c>
      <c r="AB14" s="14">
        <f>474+602</f>
        <v>1076</v>
      </c>
      <c r="AC14" s="14">
        <f>362+323+133+201</f>
        <v>1019</v>
      </c>
      <c r="AD14" s="14">
        <f>502+540</f>
        <v>1042</v>
      </c>
      <c r="AE14" s="14">
        <f>416+544</f>
        <v>960</v>
      </c>
      <c r="AF14" s="14">
        <f>384+491</f>
        <v>875</v>
      </c>
      <c r="AG14" s="14">
        <v>817</v>
      </c>
      <c r="AH14" s="14">
        <v>743</v>
      </c>
      <c r="AI14" s="14">
        <v>453</v>
      </c>
    </row>
    <row r="15" spans="1:35" x14ac:dyDescent="0.2">
      <c r="A15" s="3"/>
      <c r="B15" s="4" t="s">
        <v>17</v>
      </c>
      <c r="C15" s="4"/>
      <c r="D15" s="4">
        <f>124+145</f>
        <v>269</v>
      </c>
      <c r="E15" s="14">
        <f>190+232</f>
        <v>422</v>
      </c>
      <c r="F15" s="14">
        <f>176+250</f>
        <v>426</v>
      </c>
      <c r="G15" s="14">
        <f>118+173</f>
        <v>291</v>
      </c>
      <c r="H15" s="14">
        <f>104+171</f>
        <v>275</v>
      </c>
      <c r="I15" s="14">
        <f>103+150</f>
        <v>253</v>
      </c>
      <c r="J15" s="14">
        <f>91+139</f>
        <v>230</v>
      </c>
      <c r="K15" s="14">
        <f>98+141</f>
        <v>239</v>
      </c>
      <c r="L15" s="14">
        <f>122+163</f>
        <v>285</v>
      </c>
      <c r="M15" s="14">
        <f>125+192</f>
        <v>317</v>
      </c>
      <c r="N15" s="14">
        <f>125+195</f>
        <v>320</v>
      </c>
      <c r="O15" s="14">
        <f>133+195</f>
        <v>328</v>
      </c>
      <c r="P15" s="14">
        <f>146+196</f>
        <v>342</v>
      </c>
      <c r="Q15" s="14">
        <f>148+202</f>
        <v>350</v>
      </c>
      <c r="R15" s="14">
        <f>167+196</f>
        <v>363</v>
      </c>
      <c r="S15" s="14">
        <f>141+209</f>
        <v>350</v>
      </c>
      <c r="T15" s="14">
        <f>131+190</f>
        <v>321</v>
      </c>
      <c r="U15" s="14">
        <f>173+227</f>
        <v>400</v>
      </c>
      <c r="V15" s="14">
        <f>224+238</f>
        <v>462</v>
      </c>
      <c r="W15" s="14">
        <f>224+241</f>
        <v>465</v>
      </c>
      <c r="X15" s="14">
        <f>210+225</f>
        <v>435</v>
      </c>
      <c r="Y15" s="14">
        <f>213+254</f>
        <v>467</v>
      </c>
      <c r="Z15" s="14">
        <f>209+253</f>
        <v>462</v>
      </c>
      <c r="AA15" s="14">
        <f>179+241</f>
        <v>420</v>
      </c>
      <c r="AB15" s="14">
        <f>180+211</f>
        <v>391</v>
      </c>
      <c r="AC15" s="14">
        <f>111+143+67+79</f>
        <v>400</v>
      </c>
      <c r="AD15" s="14">
        <f>139+206</f>
        <v>345</v>
      </c>
      <c r="AE15" s="14">
        <f>147+215</f>
        <v>362</v>
      </c>
      <c r="AF15" s="14">
        <f>124+190</f>
        <v>314</v>
      </c>
      <c r="AG15" s="14">
        <v>299</v>
      </c>
      <c r="AH15" s="14">
        <v>295</v>
      </c>
      <c r="AI15" s="14">
        <v>207</v>
      </c>
    </row>
    <row r="16" spans="1:35" x14ac:dyDescent="0.2">
      <c r="A16" s="3"/>
      <c r="B16" s="4" t="s">
        <v>18</v>
      </c>
      <c r="C16" s="4"/>
      <c r="D16" s="4">
        <f>61+92</f>
        <v>153</v>
      </c>
      <c r="E16" s="14">
        <f>128+171</f>
        <v>299</v>
      </c>
      <c r="F16" s="14">
        <f>141+202</f>
        <v>343</v>
      </c>
      <c r="G16" s="14">
        <f>81+131</f>
        <v>212</v>
      </c>
      <c r="H16" s="14">
        <f>69+92</f>
        <v>161</v>
      </c>
      <c r="I16" s="14">
        <f>49+92</f>
        <v>141</v>
      </c>
      <c r="J16" s="14">
        <f>55+100</f>
        <v>155</v>
      </c>
      <c r="K16" s="14">
        <f>55+102</f>
        <v>157</v>
      </c>
      <c r="L16" s="14">
        <f>50+93</f>
        <v>143</v>
      </c>
      <c r="M16" s="14">
        <f>54+90</f>
        <v>144</v>
      </c>
      <c r="N16" s="14">
        <f>58+115</f>
        <v>173</v>
      </c>
      <c r="O16" s="14">
        <f>55+105</f>
        <v>160</v>
      </c>
      <c r="P16" s="14">
        <f>61+95</f>
        <v>156</v>
      </c>
      <c r="Q16" s="14">
        <f>69+90</f>
        <v>159</v>
      </c>
      <c r="R16" s="14">
        <f>84+96</f>
        <v>180</v>
      </c>
      <c r="S16" s="14">
        <f>73+111</f>
        <v>184</v>
      </c>
      <c r="T16" s="14">
        <f>70+106</f>
        <v>176</v>
      </c>
      <c r="U16" s="14">
        <f>76+116</f>
        <v>192</v>
      </c>
      <c r="V16" s="14">
        <f>87+104</f>
        <v>191</v>
      </c>
      <c r="W16" s="14">
        <f>92+112</f>
        <v>204</v>
      </c>
      <c r="X16" s="14">
        <f>89+125</f>
        <v>214</v>
      </c>
      <c r="Y16" s="14">
        <f>89+122</f>
        <v>211</v>
      </c>
      <c r="Z16" s="14">
        <f>62+131</f>
        <v>193</v>
      </c>
      <c r="AA16" s="14">
        <f>75+107</f>
        <v>182</v>
      </c>
      <c r="AB16" s="14">
        <f>63+104</f>
        <v>167</v>
      </c>
      <c r="AC16" s="14">
        <f>53+59+28+50</f>
        <v>190</v>
      </c>
      <c r="AD16" s="14">
        <f>74+96</f>
        <v>170</v>
      </c>
      <c r="AE16" s="14">
        <v>62</v>
      </c>
      <c r="AF16" s="14">
        <f>60+92</f>
        <v>152</v>
      </c>
      <c r="AG16" s="14">
        <v>163</v>
      </c>
      <c r="AH16" s="14">
        <v>155</v>
      </c>
      <c r="AI16" s="14">
        <v>91</v>
      </c>
    </row>
    <row r="17" spans="1:36" x14ac:dyDescent="0.2">
      <c r="A17" s="3"/>
      <c r="B17" s="4" t="s">
        <v>19</v>
      </c>
      <c r="C17" s="4"/>
      <c r="D17" s="4">
        <f>43+119</f>
        <v>162</v>
      </c>
      <c r="E17" s="14">
        <f>109+208</f>
        <v>317</v>
      </c>
      <c r="F17" s="14">
        <f>116+234</f>
        <v>350</v>
      </c>
      <c r="G17" s="14">
        <f>60+122</f>
        <v>182</v>
      </c>
      <c r="H17" s="14">
        <f>57+145</f>
        <v>202</v>
      </c>
      <c r="I17" s="14">
        <f>58+127</f>
        <v>185</v>
      </c>
      <c r="J17" s="14">
        <f>53+111</f>
        <v>164</v>
      </c>
      <c r="K17" s="14">
        <f>43+107</f>
        <v>150</v>
      </c>
      <c r="L17" s="14">
        <f>52+120</f>
        <v>172</v>
      </c>
      <c r="M17" s="14">
        <f>43+120</f>
        <v>163</v>
      </c>
      <c r="N17" s="14">
        <f>54+120</f>
        <v>174</v>
      </c>
      <c r="O17" s="14">
        <f>47+116</f>
        <v>163</v>
      </c>
      <c r="P17" s="14">
        <f>51+102</f>
        <v>153</v>
      </c>
      <c r="Q17" s="14">
        <f>55+108</f>
        <v>163</v>
      </c>
      <c r="R17" s="14">
        <f>60+96</f>
        <v>156</v>
      </c>
      <c r="S17" s="14">
        <f>61+115</f>
        <v>176</v>
      </c>
      <c r="T17" s="14">
        <f>55+120</f>
        <v>175</v>
      </c>
      <c r="U17" s="14">
        <f>68+122</f>
        <v>190</v>
      </c>
      <c r="V17" s="14">
        <f>74+114</f>
        <v>188</v>
      </c>
      <c r="W17" s="14">
        <f>75+130</f>
        <v>205</v>
      </c>
      <c r="X17" s="14">
        <f>60+142</f>
        <v>202</v>
      </c>
      <c r="Y17" s="14">
        <f>69+143</f>
        <v>212</v>
      </c>
      <c r="Z17" s="14">
        <f>68+108</f>
        <v>176</v>
      </c>
      <c r="AA17" s="14">
        <f>66+109</f>
        <v>175</v>
      </c>
      <c r="AB17" s="14">
        <f>65+111</f>
        <v>176</v>
      </c>
      <c r="AC17" s="14">
        <f>35+56+26+46</f>
        <v>163</v>
      </c>
      <c r="AD17" s="14">
        <f>44+85</f>
        <v>129</v>
      </c>
      <c r="AE17" s="14">
        <v>86</v>
      </c>
      <c r="AF17" s="14">
        <f>56+94</f>
        <v>150</v>
      </c>
      <c r="AG17" s="14">
        <v>157</v>
      </c>
      <c r="AH17" s="14">
        <v>155</v>
      </c>
      <c r="AI17" s="14">
        <v>86</v>
      </c>
    </row>
    <row r="18" spans="1:36" x14ac:dyDescent="0.2">
      <c r="A18" s="3"/>
      <c r="B18" s="4" t="s">
        <v>20</v>
      </c>
      <c r="C18" s="4"/>
      <c r="D18" s="4">
        <f>12+10</f>
        <v>22</v>
      </c>
      <c r="E18" s="14">
        <f>24+45</f>
        <v>69</v>
      </c>
      <c r="F18" s="14">
        <f>12+47</f>
        <v>59</v>
      </c>
      <c r="G18" s="14">
        <f>13+24</f>
        <v>37</v>
      </c>
      <c r="H18" s="14">
        <f>10+22</f>
        <v>32</v>
      </c>
      <c r="I18" s="14">
        <f>27</f>
        <v>27</v>
      </c>
      <c r="J18" s="14">
        <f>13+22</f>
        <v>35</v>
      </c>
      <c r="K18" s="14">
        <f>11+20</f>
        <v>31</v>
      </c>
      <c r="L18" s="14">
        <f>12+24</f>
        <v>36</v>
      </c>
      <c r="M18" s="14">
        <f>14+31</f>
        <v>45</v>
      </c>
      <c r="N18" s="14">
        <f>23+35</f>
        <v>58</v>
      </c>
      <c r="O18" s="14">
        <f>28+29</f>
        <v>57</v>
      </c>
      <c r="P18" s="14">
        <f>24+32</f>
        <v>56</v>
      </c>
      <c r="Q18" s="14">
        <f>16+32</f>
        <v>48</v>
      </c>
      <c r="R18" s="14">
        <f>19+28</f>
        <v>47</v>
      </c>
      <c r="S18" s="14">
        <f>13+47</f>
        <v>60</v>
      </c>
      <c r="T18" s="14">
        <f>21+45</f>
        <v>66</v>
      </c>
      <c r="U18" s="14">
        <f>24+30</f>
        <v>54</v>
      </c>
      <c r="V18" s="14">
        <f>23+58</f>
        <v>81</v>
      </c>
      <c r="W18" s="14">
        <f>22+48</f>
        <v>70</v>
      </c>
      <c r="X18" s="14">
        <f>27+43</f>
        <v>70</v>
      </c>
      <c r="Y18" s="14">
        <f>29+59</f>
        <v>88</v>
      </c>
      <c r="Z18" s="14">
        <f>18+53</f>
        <v>71</v>
      </c>
      <c r="AA18" s="14">
        <f>19+48</f>
        <v>67</v>
      </c>
      <c r="AB18" s="14">
        <f>20+37</f>
        <v>57</v>
      </c>
      <c r="AC18" s="14">
        <f>13+15+7+22</f>
        <v>57</v>
      </c>
      <c r="AD18" s="14">
        <f>17+39</f>
        <v>56</v>
      </c>
      <c r="AE18" s="14">
        <f>48+87</f>
        <v>135</v>
      </c>
      <c r="AF18" s="14">
        <f>11+32</f>
        <v>43</v>
      </c>
      <c r="AG18" s="14">
        <v>59</v>
      </c>
      <c r="AH18" s="14">
        <v>50</v>
      </c>
      <c r="AI18" s="14">
        <v>34</v>
      </c>
    </row>
    <row r="19" spans="1:36" x14ac:dyDescent="0.2">
      <c r="A19" s="3"/>
      <c r="B19" s="4" t="s">
        <v>21</v>
      </c>
      <c r="C19" s="4"/>
      <c r="D19" s="14">
        <f>0</f>
        <v>0</v>
      </c>
      <c r="E19" s="14">
        <v>2</v>
      </c>
      <c r="F19" s="14">
        <f>2</f>
        <v>2</v>
      </c>
      <c r="G19" s="14">
        <v>0</v>
      </c>
      <c r="H19" s="14">
        <f>1</f>
        <v>1</v>
      </c>
      <c r="I19" s="14">
        <v>0</v>
      </c>
      <c r="J19" s="14">
        <f>1</f>
        <v>1</v>
      </c>
      <c r="K19" s="14">
        <v>1</v>
      </c>
      <c r="L19" s="14">
        <v>0</v>
      </c>
      <c r="M19" s="14">
        <v>1</v>
      </c>
      <c r="N19" s="14">
        <f>1+0</f>
        <v>1</v>
      </c>
      <c r="O19" s="14">
        <v>0</v>
      </c>
      <c r="P19" s="14">
        <f>2+0</f>
        <v>2</v>
      </c>
      <c r="Q19" s="14">
        <f>1+1</f>
        <v>2</v>
      </c>
      <c r="R19" s="14">
        <v>1</v>
      </c>
      <c r="S19" s="14">
        <f>1+1</f>
        <v>2</v>
      </c>
      <c r="T19" s="14">
        <f>1+2</f>
        <v>3</v>
      </c>
      <c r="U19" s="14">
        <f>2+2</f>
        <v>4</v>
      </c>
      <c r="V19" s="14">
        <f>1+1</f>
        <v>2</v>
      </c>
      <c r="W19" s="14">
        <f>1+2</f>
        <v>3</v>
      </c>
      <c r="X19" s="14">
        <v>1</v>
      </c>
      <c r="Y19" s="14">
        <v>2</v>
      </c>
      <c r="Z19" s="14">
        <v>1</v>
      </c>
      <c r="AA19" s="14">
        <v>2</v>
      </c>
      <c r="AB19" s="14">
        <f>3+3</f>
        <v>6</v>
      </c>
      <c r="AC19" s="14">
        <f>3+2+1</f>
        <v>6</v>
      </c>
      <c r="AD19" s="14">
        <f>3+3</f>
        <v>6</v>
      </c>
      <c r="AE19" s="14">
        <f>13+40</f>
        <v>53</v>
      </c>
      <c r="AF19" s="14">
        <v>1</v>
      </c>
      <c r="AG19" s="14">
        <v>6</v>
      </c>
      <c r="AH19" s="14">
        <v>4</v>
      </c>
      <c r="AI19" s="14">
        <v>3</v>
      </c>
    </row>
    <row r="20" spans="1:36" x14ac:dyDescent="0.2">
      <c r="A20" s="3"/>
      <c r="B20" s="4" t="s">
        <v>22</v>
      </c>
      <c r="C20" s="4"/>
      <c r="D20" s="14">
        <v>9</v>
      </c>
      <c r="E20" s="14">
        <v>16</v>
      </c>
      <c r="F20" s="14">
        <v>11</v>
      </c>
      <c r="G20" s="14">
        <f>5+5</f>
        <v>10</v>
      </c>
      <c r="H20" s="14">
        <v>6</v>
      </c>
      <c r="I20" s="14">
        <v>8</v>
      </c>
      <c r="J20" s="14">
        <v>8</v>
      </c>
      <c r="K20" s="14">
        <f>3+3</f>
        <v>6</v>
      </c>
      <c r="L20" s="14">
        <f>8+4</f>
        <v>12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f>4+2</f>
        <v>6</v>
      </c>
      <c r="AF20" s="14"/>
      <c r="AG20" s="14"/>
      <c r="AH20" s="14">
        <v>0</v>
      </c>
      <c r="AI20" s="14">
        <v>0</v>
      </c>
    </row>
    <row r="21" spans="1:36" ht="13.5" thickBot="1" x14ac:dyDescent="0.25">
      <c r="A21" s="15"/>
      <c r="B21" s="16" t="s">
        <v>23</v>
      </c>
      <c r="C21" s="16"/>
      <c r="D21" s="17">
        <f t="shared" ref="D21:Y21" si="0">SUM(D10:D20)</f>
        <v>5320</v>
      </c>
      <c r="E21" s="17">
        <f t="shared" si="0"/>
        <v>6079</v>
      </c>
      <c r="F21" s="17">
        <f t="shared" si="0"/>
        <v>6428</v>
      </c>
      <c r="G21" s="17">
        <f t="shared" si="0"/>
        <v>5540</v>
      </c>
      <c r="H21" s="17">
        <f t="shared" si="0"/>
        <v>5577</v>
      </c>
      <c r="I21" s="17">
        <f t="shared" si="0"/>
        <v>5376</v>
      </c>
      <c r="J21" s="17">
        <f t="shared" si="0"/>
        <v>5740</v>
      </c>
      <c r="K21" s="17">
        <f t="shared" si="0"/>
        <v>5964</v>
      </c>
      <c r="L21" s="17">
        <f t="shared" si="0"/>
        <v>6014</v>
      </c>
      <c r="M21" s="17">
        <f t="shared" si="0"/>
        <v>6177</v>
      </c>
      <c r="N21" s="17">
        <f t="shared" si="0"/>
        <v>6387</v>
      </c>
      <c r="O21" s="17">
        <f t="shared" si="0"/>
        <v>6382</v>
      </c>
      <c r="P21" s="17">
        <f t="shared" si="0"/>
        <v>6287</v>
      </c>
      <c r="Q21" s="17">
        <f t="shared" si="0"/>
        <v>6711</v>
      </c>
      <c r="R21" s="17">
        <f t="shared" si="0"/>
        <v>6667</v>
      </c>
      <c r="S21" s="17">
        <f>SUM(S10:S20)</f>
        <v>6864</v>
      </c>
      <c r="T21" s="17">
        <f>SUM(T10:T20)</f>
        <v>6727</v>
      </c>
      <c r="U21" s="17">
        <f>SUM(U10:U20)</f>
        <v>7000</v>
      </c>
      <c r="V21" s="17">
        <f>SUM(V10:V20)</f>
        <v>7210</v>
      </c>
      <c r="W21" s="17">
        <f t="shared" ref="W21" si="1">SUM(W10:W20)</f>
        <v>7091</v>
      </c>
      <c r="X21" s="17">
        <f t="shared" si="0"/>
        <v>6988</v>
      </c>
      <c r="Y21" s="17">
        <f t="shared" si="0"/>
        <v>7015</v>
      </c>
      <c r="Z21" s="17">
        <f t="shared" ref="Z21:AC21" si="2">SUM(Z10:Z20)</f>
        <v>6712</v>
      </c>
      <c r="AA21" s="17">
        <f t="shared" si="2"/>
        <v>6487</v>
      </c>
      <c r="AB21" s="17">
        <f t="shared" si="2"/>
        <v>6507</v>
      </c>
      <c r="AC21" s="17">
        <f t="shared" si="2"/>
        <v>6401</v>
      </c>
      <c r="AD21" s="17">
        <f t="shared" ref="AD21:AF21" si="3">SUM(AD10:AD20)</f>
        <v>6101</v>
      </c>
      <c r="AE21" s="17">
        <f t="shared" ref="AE21" si="4">SUM(AE10:AE20)</f>
        <v>5804</v>
      </c>
      <c r="AF21" s="17">
        <f t="shared" si="3"/>
        <v>5290</v>
      </c>
      <c r="AG21" s="17">
        <f t="shared" ref="AG21" si="5">SUM(AG10:AG20)</f>
        <v>5140</v>
      </c>
      <c r="AH21" s="17">
        <v>5087</v>
      </c>
      <c r="AI21" s="17">
        <f>SUM(AI10:AI20)</f>
        <v>4222</v>
      </c>
      <c r="AJ21" s="18"/>
    </row>
    <row r="22" spans="1:36" ht="13.5" thickTop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6" x14ac:dyDescent="0.2">
      <c r="A23" s="3"/>
      <c r="B23" s="12" t="s">
        <v>24</v>
      </c>
      <c r="C23" s="1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6" x14ac:dyDescent="0.2">
      <c r="A24" s="3"/>
      <c r="B24" s="4" t="s">
        <v>12</v>
      </c>
      <c r="C24" s="4"/>
      <c r="D24" s="14">
        <f>932+1759</f>
        <v>2691</v>
      </c>
      <c r="E24" s="14">
        <f>1101+2079</f>
        <v>3180</v>
      </c>
      <c r="F24" s="14">
        <f>974+2117</f>
        <v>3091</v>
      </c>
      <c r="G24" s="14">
        <f>1058+2355</f>
        <v>3413</v>
      </c>
      <c r="H24" s="14">
        <f>1067+2512</f>
        <v>3579</v>
      </c>
      <c r="I24" s="14">
        <f>1097+2306</f>
        <v>3403</v>
      </c>
      <c r="J24" s="14">
        <f>1130+2312</f>
        <v>3442</v>
      </c>
      <c r="K24" s="14">
        <f>1008+2112</f>
        <v>3120</v>
      </c>
      <c r="L24" s="14">
        <f>843+1868</f>
        <v>2711</v>
      </c>
      <c r="M24" s="14">
        <f>739+1603</f>
        <v>2342</v>
      </c>
      <c r="N24" s="14">
        <f>956+1896</f>
        <v>2852</v>
      </c>
      <c r="O24" s="14">
        <f>982+2010</f>
        <v>2992</v>
      </c>
      <c r="P24" s="14">
        <f>971+2045</f>
        <v>3016</v>
      </c>
      <c r="Q24" s="14">
        <f>897+1902</f>
        <v>2799</v>
      </c>
      <c r="R24" s="14">
        <f>955+1898</f>
        <v>2853</v>
      </c>
      <c r="S24" s="14">
        <f>897+1768</f>
        <v>2665</v>
      </c>
      <c r="T24" s="14">
        <f>397+2563</f>
        <v>2960</v>
      </c>
      <c r="U24" s="14">
        <f>974+2209</f>
        <v>3183</v>
      </c>
      <c r="V24" s="14">
        <f>1172+2108</f>
        <v>3280</v>
      </c>
      <c r="W24" s="14">
        <f>1225+2055</f>
        <v>3280</v>
      </c>
      <c r="X24" s="14">
        <f>1479+2290</f>
        <v>3769</v>
      </c>
      <c r="Y24" s="14">
        <f>1527+2502</f>
        <v>4029</v>
      </c>
      <c r="Z24" s="14">
        <f>1692+2714</f>
        <v>4406</v>
      </c>
      <c r="AA24" s="14">
        <f>2019+3225</f>
        <v>5244</v>
      </c>
      <c r="AB24" s="14">
        <f>2145+3299</f>
        <v>5444</v>
      </c>
      <c r="AC24" s="14">
        <f>2088+3200</f>
        <v>5288</v>
      </c>
      <c r="AD24" s="14">
        <f>2119+3139</f>
        <v>5258</v>
      </c>
      <c r="AE24" s="14">
        <f>1489+2180</f>
        <v>3669</v>
      </c>
      <c r="AF24" s="14">
        <f>2175+3342</f>
        <v>5517</v>
      </c>
      <c r="AG24" s="14">
        <v>5941</v>
      </c>
      <c r="AH24" s="14">
        <v>5955</v>
      </c>
      <c r="AI24" s="14">
        <v>6151</v>
      </c>
    </row>
    <row r="25" spans="1:36" x14ac:dyDescent="0.2">
      <c r="A25" s="3"/>
      <c r="B25" s="4" t="s">
        <v>13</v>
      </c>
      <c r="C25" s="4"/>
      <c r="D25" s="14">
        <f>97+82</f>
        <v>179</v>
      </c>
      <c r="E25" s="14">
        <f>98+121</f>
        <v>219</v>
      </c>
      <c r="F25" s="14">
        <f>116+152</f>
        <v>268</v>
      </c>
      <c r="G25" s="14">
        <f>101+162</f>
        <v>263</v>
      </c>
      <c r="H25" s="14">
        <f>138+183</f>
        <v>321</v>
      </c>
      <c r="I25" s="14">
        <f>176+222</f>
        <v>398</v>
      </c>
      <c r="J25" s="14">
        <f>124+164</f>
        <v>288</v>
      </c>
      <c r="K25" s="14">
        <f>100+132</f>
        <v>232</v>
      </c>
      <c r="L25" s="14">
        <f>150+239</f>
        <v>389</v>
      </c>
      <c r="M25" s="14">
        <f>161+232</f>
        <v>393</v>
      </c>
      <c r="N25" s="14">
        <f>172+236</f>
        <v>408</v>
      </c>
      <c r="O25" s="14">
        <f>165+207</f>
        <v>372</v>
      </c>
      <c r="P25" s="14">
        <f>196+272</f>
        <v>468</v>
      </c>
      <c r="Q25" s="14">
        <f>171+237</f>
        <v>408</v>
      </c>
      <c r="R25" s="14">
        <f>197+292</f>
        <v>489</v>
      </c>
      <c r="S25" s="14">
        <f>221+307</f>
        <v>528</v>
      </c>
      <c r="T25" s="14">
        <f>106+257</f>
        <v>363</v>
      </c>
      <c r="U25" s="14">
        <f>177+283</f>
        <v>460</v>
      </c>
      <c r="V25" s="14">
        <f>163+239</f>
        <v>402</v>
      </c>
      <c r="W25" s="14">
        <f>174+216</f>
        <v>390</v>
      </c>
      <c r="X25" s="14">
        <f>187+220</f>
        <v>407</v>
      </c>
      <c r="Y25" s="14">
        <f>199+249</f>
        <v>448</v>
      </c>
      <c r="Z25" s="14">
        <f>200+260</f>
        <v>460</v>
      </c>
      <c r="AA25" s="14">
        <f>275+255</f>
        <v>530</v>
      </c>
      <c r="AB25" s="14">
        <f>265+315</f>
        <v>580</v>
      </c>
      <c r="AC25" s="14">
        <f>293+270</f>
        <v>563</v>
      </c>
      <c r="AD25" s="14">
        <f>288+299</f>
        <v>587</v>
      </c>
      <c r="AE25" s="14">
        <f>228+232</f>
        <v>460</v>
      </c>
      <c r="AF25" s="14">
        <f>284+299</f>
        <v>583</v>
      </c>
      <c r="AG25" s="14">
        <v>605</v>
      </c>
      <c r="AH25" s="14">
        <v>562</v>
      </c>
      <c r="AI25" s="14">
        <v>611</v>
      </c>
    </row>
    <row r="26" spans="1:36" x14ac:dyDescent="0.2">
      <c r="A26" s="3"/>
      <c r="B26" s="4" t="s">
        <v>14</v>
      </c>
      <c r="C26" s="4"/>
      <c r="D26" s="14">
        <f>184+234</f>
        <v>418</v>
      </c>
      <c r="E26" s="14">
        <f>158+213</f>
        <v>371</v>
      </c>
      <c r="F26" s="14">
        <f>137+228</f>
        <v>365</v>
      </c>
      <c r="G26" s="14">
        <f>167+195</f>
        <v>362</v>
      </c>
      <c r="H26" s="14">
        <f>135+224</f>
        <v>359</v>
      </c>
      <c r="I26" s="14">
        <f>158+243</f>
        <v>401</v>
      </c>
      <c r="J26" s="14">
        <f>171+248</f>
        <v>419</v>
      </c>
      <c r="K26" s="14">
        <f>190+286</f>
        <v>476</v>
      </c>
      <c r="L26" s="14">
        <f>166+244</f>
        <v>410</v>
      </c>
      <c r="M26" s="14">
        <f>136+244</f>
        <v>380</v>
      </c>
      <c r="N26" s="14">
        <f>128+228</f>
        <v>356</v>
      </c>
      <c r="O26" s="14">
        <f>103+222</f>
        <v>325</v>
      </c>
      <c r="P26" s="14">
        <f>102+183</f>
        <v>285</v>
      </c>
      <c r="Q26" s="14">
        <f>99+193</f>
        <v>292</v>
      </c>
      <c r="R26" s="14">
        <f>108+163</f>
        <v>271</v>
      </c>
      <c r="S26" s="14">
        <f>98+155</f>
        <v>253</v>
      </c>
      <c r="T26" s="14">
        <f>118+176</f>
        <v>294</v>
      </c>
      <c r="U26" s="14">
        <f>117+148</f>
        <v>265</v>
      </c>
      <c r="V26" s="14">
        <f>106+171</f>
        <v>277</v>
      </c>
      <c r="W26" s="14">
        <f>99+173</f>
        <v>272</v>
      </c>
      <c r="X26" s="14">
        <f>103+143</f>
        <v>246</v>
      </c>
      <c r="Y26" s="14">
        <f>99+124</f>
        <v>223</v>
      </c>
      <c r="Z26" s="14">
        <f>83+128</f>
        <v>211</v>
      </c>
      <c r="AA26" s="14">
        <f>90+128</f>
        <v>218</v>
      </c>
      <c r="AB26" s="14">
        <f>76+99</f>
        <v>175</v>
      </c>
      <c r="AC26" s="14">
        <f>86+80+1+4</f>
        <v>171</v>
      </c>
      <c r="AD26" s="14">
        <f>73+119</f>
        <v>192</v>
      </c>
      <c r="AE26" s="14">
        <f>84+125</f>
        <v>209</v>
      </c>
      <c r="AF26" s="14">
        <f>87+106</f>
        <v>193</v>
      </c>
      <c r="AG26" s="14">
        <v>152</v>
      </c>
      <c r="AH26" s="14">
        <v>130</v>
      </c>
      <c r="AI26" s="14">
        <v>111</v>
      </c>
    </row>
    <row r="27" spans="1:36" x14ac:dyDescent="0.2">
      <c r="A27" s="3"/>
      <c r="B27" s="4" t="s">
        <v>15</v>
      </c>
      <c r="C27" s="4"/>
      <c r="D27" s="14">
        <f>583+759</f>
        <v>1342</v>
      </c>
      <c r="E27" s="14">
        <f>524+714</f>
        <v>1238</v>
      </c>
      <c r="F27" s="14">
        <f>464+681</f>
        <v>1145</v>
      </c>
      <c r="G27" s="14">
        <f>520+731</f>
        <v>1251</v>
      </c>
      <c r="H27" s="14">
        <f>485+686</f>
        <v>1171</v>
      </c>
      <c r="I27" s="14">
        <f>433+706</f>
        <v>1139</v>
      </c>
      <c r="J27" s="14">
        <f>447+734</f>
        <v>1181</v>
      </c>
      <c r="K27" s="14">
        <f>488+664</f>
        <v>1152</v>
      </c>
      <c r="L27" s="14">
        <f>461+698</f>
        <v>1159</v>
      </c>
      <c r="M27" s="14">
        <f>533+672</f>
        <v>1205</v>
      </c>
      <c r="N27" s="14">
        <f>498+724</f>
        <v>1222</v>
      </c>
      <c r="O27" s="14">
        <f>483+696</f>
        <v>1179</v>
      </c>
      <c r="P27" s="14">
        <f>472+700</f>
        <v>1172</v>
      </c>
      <c r="Q27" s="14">
        <f>470+667</f>
        <v>1137</v>
      </c>
      <c r="R27" s="14">
        <f>440+658</f>
        <v>1098</v>
      </c>
      <c r="S27" s="14">
        <f>421+596</f>
        <v>1017</v>
      </c>
      <c r="T27" s="14">
        <f>450+687</f>
        <v>1137</v>
      </c>
      <c r="U27" s="14">
        <f>478+740</f>
        <v>1218</v>
      </c>
      <c r="V27" s="14">
        <f>523+717</f>
        <v>1240</v>
      </c>
      <c r="W27" s="14">
        <f>542+809</f>
        <v>1351</v>
      </c>
      <c r="X27" s="14">
        <f>454+771</f>
        <v>1225</v>
      </c>
      <c r="Y27" s="14">
        <f>493+684</f>
        <v>1177</v>
      </c>
      <c r="Z27" s="14">
        <f>438+625</f>
        <v>1063</v>
      </c>
      <c r="AA27" s="14">
        <f>419+549</f>
        <v>968</v>
      </c>
      <c r="AB27" s="14">
        <f>347+459</f>
        <v>806</v>
      </c>
      <c r="AC27" s="14">
        <f>306+281+90+204</f>
        <v>881</v>
      </c>
      <c r="AD27" s="14">
        <f>376+459</f>
        <v>835</v>
      </c>
      <c r="AE27" s="14">
        <f>318+466</f>
        <v>784</v>
      </c>
      <c r="AF27" s="14">
        <f>304+445</f>
        <v>749</v>
      </c>
      <c r="AG27" s="14">
        <v>679</v>
      </c>
      <c r="AH27" s="14">
        <v>551</v>
      </c>
      <c r="AI27" s="14">
        <v>326</v>
      </c>
    </row>
    <row r="28" spans="1:36" x14ac:dyDescent="0.2">
      <c r="A28" s="3"/>
      <c r="B28" s="4" t="s">
        <v>16</v>
      </c>
      <c r="C28" s="4"/>
      <c r="D28" s="14">
        <f>753+997</f>
        <v>1750</v>
      </c>
      <c r="E28" s="14">
        <f>663+850</f>
        <v>1513</v>
      </c>
      <c r="F28" s="14">
        <f>626+858</f>
        <v>1484</v>
      </c>
      <c r="G28" s="14">
        <f>734+1018</f>
        <v>1752</v>
      </c>
      <c r="H28" s="14">
        <f>717+1022</f>
        <v>1739</v>
      </c>
      <c r="I28" s="14">
        <f>694+1027</f>
        <v>1721</v>
      </c>
      <c r="J28" s="14">
        <f>640+1010</f>
        <v>1650</v>
      </c>
      <c r="K28" s="14">
        <f>644+902</f>
        <v>1546</v>
      </c>
      <c r="L28" s="14">
        <f>648+980</f>
        <v>1628</v>
      </c>
      <c r="M28" s="14">
        <f>646+918</f>
        <v>1564</v>
      </c>
      <c r="N28" s="14">
        <f>622+888</f>
        <v>1510</v>
      </c>
      <c r="O28" s="14">
        <f>667+896</f>
        <v>1563</v>
      </c>
      <c r="P28" s="14">
        <f>658+949</f>
        <v>1607</v>
      </c>
      <c r="Q28" s="14">
        <f>643+921</f>
        <v>1564</v>
      </c>
      <c r="R28" s="14">
        <f>620+953</f>
        <v>1573</v>
      </c>
      <c r="S28" s="14">
        <f>664+978</f>
        <v>1642</v>
      </c>
      <c r="T28" s="14">
        <f>630+1000</f>
        <v>1630</v>
      </c>
      <c r="U28" s="14">
        <f>682+1034</f>
        <v>1716</v>
      </c>
      <c r="V28" s="14">
        <f>648+1038</f>
        <v>1686</v>
      </c>
      <c r="W28" s="14">
        <f>692+1056</f>
        <v>1748</v>
      </c>
      <c r="X28" s="14">
        <f>665+925</f>
        <v>1590</v>
      </c>
      <c r="Y28" s="14">
        <f>678+917</f>
        <v>1595</v>
      </c>
      <c r="Z28" s="14">
        <f>582+856</f>
        <v>1438</v>
      </c>
      <c r="AA28" s="14">
        <f>561+756</f>
        <v>1317</v>
      </c>
      <c r="AB28" s="14">
        <f>476+719</f>
        <v>1195</v>
      </c>
      <c r="AC28" s="14">
        <f>310+290+154+414</f>
        <v>1168</v>
      </c>
      <c r="AD28" s="14">
        <f>433+676</f>
        <v>1109</v>
      </c>
      <c r="AE28" s="14">
        <f>456+634</f>
        <v>1090</v>
      </c>
      <c r="AF28" s="14">
        <f>411+609</f>
        <v>1020</v>
      </c>
      <c r="AG28" s="14">
        <v>913</v>
      </c>
      <c r="AH28" s="14">
        <v>824</v>
      </c>
      <c r="AI28" s="14">
        <v>376</v>
      </c>
    </row>
    <row r="29" spans="1:36" x14ac:dyDescent="0.2">
      <c r="A29" s="3"/>
      <c r="B29" s="4" t="s">
        <v>17</v>
      </c>
      <c r="C29" s="4"/>
      <c r="D29" s="14">
        <f>500+641</f>
        <v>1141</v>
      </c>
      <c r="E29" s="14">
        <f>402+553</f>
        <v>955</v>
      </c>
      <c r="F29" s="14">
        <f>371+554</f>
        <v>925</v>
      </c>
      <c r="G29" s="14">
        <f>441+627</f>
        <v>1068</v>
      </c>
      <c r="H29" s="14">
        <f>418+605</f>
        <v>1023</v>
      </c>
      <c r="I29" s="14">
        <f>378+571</f>
        <v>949</v>
      </c>
      <c r="J29" s="14">
        <f>395+560</f>
        <v>955</v>
      </c>
      <c r="K29" s="14">
        <f>381+549</f>
        <v>930</v>
      </c>
      <c r="L29" s="14">
        <f>381+592</f>
        <v>973</v>
      </c>
      <c r="M29" s="14">
        <f>390+571</f>
        <v>961</v>
      </c>
      <c r="N29" s="14">
        <f>414+545</f>
        <v>959</v>
      </c>
      <c r="O29" s="14">
        <f>374+571</f>
        <v>945</v>
      </c>
      <c r="P29" s="14">
        <f>381+554</f>
        <v>935</v>
      </c>
      <c r="Q29" s="14">
        <f>358+523</f>
        <v>881</v>
      </c>
      <c r="R29" s="14">
        <f>359+514</f>
        <v>873</v>
      </c>
      <c r="S29" s="14">
        <f>342+501</f>
        <v>843</v>
      </c>
      <c r="T29" s="14">
        <f>351+546</f>
        <v>897</v>
      </c>
      <c r="U29" s="14">
        <f>389+534</f>
        <v>923</v>
      </c>
      <c r="V29" s="14">
        <f>397+566</f>
        <v>963</v>
      </c>
      <c r="W29" s="14">
        <f>385+586</f>
        <v>971</v>
      </c>
      <c r="X29" s="14">
        <f>401+548</f>
        <v>949</v>
      </c>
      <c r="Y29" s="14">
        <f>393+546</f>
        <v>939</v>
      </c>
      <c r="Z29" s="14">
        <f>378+513</f>
        <v>891</v>
      </c>
      <c r="AA29" s="14">
        <f>344+441</f>
        <v>785</v>
      </c>
      <c r="AB29" s="14">
        <f>295+433</f>
        <v>728</v>
      </c>
      <c r="AC29" s="14">
        <f>150+178+116+240</f>
        <v>684</v>
      </c>
      <c r="AD29" s="14">
        <f>247+400</f>
        <v>647</v>
      </c>
      <c r="AE29" s="14">
        <f>250+393</f>
        <v>643</v>
      </c>
      <c r="AF29" s="14">
        <f>239+388</f>
        <v>627</v>
      </c>
      <c r="AG29" s="14">
        <v>611</v>
      </c>
      <c r="AH29" s="14">
        <v>539</v>
      </c>
      <c r="AI29" s="14">
        <v>184</v>
      </c>
    </row>
    <row r="30" spans="1:36" x14ac:dyDescent="0.2">
      <c r="A30" s="3"/>
      <c r="B30" s="4" t="s">
        <v>18</v>
      </c>
      <c r="C30" s="4"/>
      <c r="D30" s="14">
        <f>313+506</f>
        <v>819</v>
      </c>
      <c r="E30" s="14">
        <f>304+473</f>
        <v>777</v>
      </c>
      <c r="F30" s="14">
        <f>278+463</f>
        <v>741</v>
      </c>
      <c r="G30" s="14">
        <f>296+575</f>
        <v>871</v>
      </c>
      <c r="H30" s="14">
        <f>303+519</f>
        <v>822</v>
      </c>
      <c r="I30" s="14">
        <f>245+470</f>
        <v>715</v>
      </c>
      <c r="J30" s="14">
        <f>254+440</f>
        <v>694</v>
      </c>
      <c r="K30" s="14">
        <f>253+419</f>
        <v>672</v>
      </c>
      <c r="L30" s="14">
        <f>281+388</f>
        <v>669</v>
      </c>
      <c r="M30" s="14">
        <f>244+397</f>
        <v>641</v>
      </c>
      <c r="N30" s="14">
        <f>248+382</f>
        <v>630</v>
      </c>
      <c r="O30" s="14">
        <f>220+384</f>
        <v>604</v>
      </c>
      <c r="P30" s="14">
        <f>223+348</f>
        <v>571</v>
      </c>
      <c r="Q30" s="14">
        <f>228+347</f>
        <v>575</v>
      </c>
      <c r="R30" s="14">
        <f>225+333</f>
        <v>558</v>
      </c>
      <c r="S30" s="14">
        <f>241+343</f>
        <v>584</v>
      </c>
      <c r="T30" s="14">
        <f>215+349</f>
        <v>564</v>
      </c>
      <c r="U30" s="14">
        <f>213+358</f>
        <v>571</v>
      </c>
      <c r="V30" s="14">
        <f>200+360</f>
        <v>560</v>
      </c>
      <c r="W30" s="14">
        <f>205+349</f>
        <v>554</v>
      </c>
      <c r="X30" s="14">
        <f>218+336</f>
        <v>554</v>
      </c>
      <c r="Y30" s="14">
        <f>214+361</f>
        <v>575</v>
      </c>
      <c r="Z30" s="14">
        <f>216+317</f>
        <v>533</v>
      </c>
      <c r="AA30" s="14">
        <f>196+308</f>
        <v>504</v>
      </c>
      <c r="AB30" s="14">
        <f>171+281</f>
        <v>452</v>
      </c>
      <c r="AC30" s="14">
        <f>91+101+77+142</f>
        <v>411</v>
      </c>
      <c r="AD30" s="14">
        <f>165+254</f>
        <v>419</v>
      </c>
      <c r="AE30" s="14">
        <f>175+233</f>
        <v>408</v>
      </c>
      <c r="AF30" s="14">
        <v>404</v>
      </c>
      <c r="AG30" s="14">
        <v>385</v>
      </c>
      <c r="AH30" s="14">
        <v>374</v>
      </c>
      <c r="AI30" s="14">
        <v>134</v>
      </c>
    </row>
    <row r="31" spans="1:36" x14ac:dyDescent="0.2">
      <c r="A31" s="3"/>
      <c r="B31" s="4" t="s">
        <v>19</v>
      </c>
      <c r="C31" s="4"/>
      <c r="D31" s="14">
        <f>309+722</f>
        <v>1031</v>
      </c>
      <c r="E31" s="14">
        <f>262+637</f>
        <v>899</v>
      </c>
      <c r="F31" s="14">
        <f>279+648</f>
        <v>927</v>
      </c>
      <c r="G31" s="14">
        <f>340+839</f>
        <v>1179</v>
      </c>
      <c r="H31" s="14">
        <f>341+873</f>
        <v>1214</v>
      </c>
      <c r="I31" s="14">
        <f>339+791</f>
        <v>1130</v>
      </c>
      <c r="J31" s="14">
        <f>356+750</f>
        <v>1106</v>
      </c>
      <c r="K31" s="14">
        <f>338+703</f>
        <v>1041</v>
      </c>
      <c r="L31" s="14">
        <f>329+702</f>
        <v>1031</v>
      </c>
      <c r="M31" s="14">
        <f>321+635</f>
        <v>956</v>
      </c>
      <c r="N31" s="14">
        <f>305+643</f>
        <v>948</v>
      </c>
      <c r="O31" s="14">
        <f>272+579</f>
        <v>851</v>
      </c>
      <c r="P31" s="14">
        <f>267+515</f>
        <v>782</v>
      </c>
      <c r="Q31" s="14">
        <f>263+533</f>
        <v>796</v>
      </c>
      <c r="R31" s="14">
        <f>238+503</f>
        <v>741</v>
      </c>
      <c r="S31" s="14">
        <f>203+485</f>
        <v>688</v>
      </c>
      <c r="T31" s="14">
        <f>209+514</f>
        <v>723</v>
      </c>
      <c r="U31" s="14">
        <f>218+495</f>
        <v>713</v>
      </c>
      <c r="V31" s="14">
        <f>220+501</f>
        <v>721</v>
      </c>
      <c r="W31" s="14">
        <f>221+505</f>
        <v>726</v>
      </c>
      <c r="X31" s="14">
        <f>214+465</f>
        <v>679</v>
      </c>
      <c r="Y31" s="14">
        <f>217+439</f>
        <v>656</v>
      </c>
      <c r="Z31" s="14">
        <f>194+443</f>
        <v>637</v>
      </c>
      <c r="AA31" s="14">
        <f>183+378</f>
        <v>561</v>
      </c>
      <c r="AB31" s="14">
        <f>176+351</f>
        <v>527</v>
      </c>
      <c r="AC31" s="14">
        <f>78+137+94+243</f>
        <v>552</v>
      </c>
      <c r="AD31" s="14">
        <f>187+346</f>
        <v>533</v>
      </c>
      <c r="AE31" s="14">
        <f>173+329</f>
        <v>502</v>
      </c>
      <c r="AF31" s="14">
        <f>162+346</f>
        <v>508</v>
      </c>
      <c r="AG31" s="14">
        <v>469</v>
      </c>
      <c r="AH31" s="14">
        <v>487</v>
      </c>
      <c r="AI31" s="14">
        <v>131</v>
      </c>
    </row>
    <row r="32" spans="1:36" x14ac:dyDescent="0.2">
      <c r="A32" s="3"/>
      <c r="B32" s="4" t="s">
        <v>20</v>
      </c>
      <c r="C32" s="4"/>
      <c r="D32" s="14">
        <f>64+130</f>
        <v>194</v>
      </c>
      <c r="E32" s="14">
        <f>42+99</f>
        <v>141</v>
      </c>
      <c r="F32" s="14">
        <f>57+130</f>
        <v>187</v>
      </c>
      <c r="G32" s="14">
        <f>67+162</f>
        <v>229</v>
      </c>
      <c r="H32" s="14">
        <f>83+183</f>
        <v>266</v>
      </c>
      <c r="I32" s="14">
        <f>77+237</f>
        <v>314</v>
      </c>
      <c r="J32" s="14">
        <f>84+209</f>
        <v>293</v>
      </c>
      <c r="K32" s="14">
        <f>73+197</f>
        <v>270</v>
      </c>
      <c r="L32" s="14">
        <f>112+255</f>
        <v>367</v>
      </c>
      <c r="M32" s="14">
        <f>99+256</f>
        <v>355</v>
      </c>
      <c r="N32" s="14">
        <f>100+265</f>
        <v>365</v>
      </c>
      <c r="O32" s="14">
        <f>117+260</f>
        <v>377</v>
      </c>
      <c r="P32" s="14">
        <f>123+248</f>
        <v>371</v>
      </c>
      <c r="Q32" s="14">
        <f>134+245</f>
        <v>379</v>
      </c>
      <c r="R32" s="14">
        <f>133+266</f>
        <v>399</v>
      </c>
      <c r="S32" s="14">
        <f>128+297</f>
        <v>425</v>
      </c>
      <c r="T32" s="14">
        <f>130+300</f>
        <v>430</v>
      </c>
      <c r="U32" s="14">
        <f>131+342</f>
        <v>473</v>
      </c>
      <c r="V32" s="14">
        <f>128+310</f>
        <v>438</v>
      </c>
      <c r="W32" s="14">
        <f>113+300</f>
        <v>413</v>
      </c>
      <c r="X32" s="14">
        <f>118+257</f>
        <v>375</v>
      </c>
      <c r="Y32" s="14">
        <f>125+268</f>
        <v>393</v>
      </c>
      <c r="Z32" s="14">
        <f>105+256</f>
        <v>361</v>
      </c>
      <c r="AA32" s="14">
        <f>106+240</f>
        <v>346</v>
      </c>
      <c r="AB32" s="14">
        <f>88+189</f>
        <v>277</v>
      </c>
      <c r="AC32" s="14">
        <f>37+83+51+116</f>
        <v>287</v>
      </c>
      <c r="AD32" s="14">
        <f>98+184</f>
        <v>282</v>
      </c>
      <c r="AE32" s="14">
        <f>79+194</f>
        <v>273</v>
      </c>
      <c r="AF32" s="14">
        <v>275</v>
      </c>
      <c r="AG32" s="14">
        <v>260</v>
      </c>
      <c r="AH32" s="14">
        <v>269</v>
      </c>
      <c r="AI32" s="14">
        <v>60</v>
      </c>
    </row>
    <row r="33" spans="1:37" x14ac:dyDescent="0.2">
      <c r="A33" s="3"/>
      <c r="B33" s="4" t="s">
        <v>21</v>
      </c>
      <c r="C33" s="4"/>
      <c r="D33" s="14">
        <f>6+6</f>
        <v>12</v>
      </c>
      <c r="E33" s="14">
        <f>6</f>
        <v>6</v>
      </c>
      <c r="F33" s="14">
        <f>4</f>
        <v>4</v>
      </c>
      <c r="G33" s="14">
        <f>2+5</f>
        <v>7</v>
      </c>
      <c r="H33" s="14">
        <f>5</f>
        <v>5</v>
      </c>
      <c r="I33" s="14">
        <f>9</f>
        <v>9</v>
      </c>
      <c r="J33" s="14">
        <v>11</v>
      </c>
      <c r="K33" s="14">
        <f>5+9</f>
        <v>14</v>
      </c>
      <c r="L33" s="14">
        <f>6+9</f>
        <v>15</v>
      </c>
      <c r="M33" s="14">
        <f>6+7</f>
        <v>13</v>
      </c>
      <c r="N33" s="14">
        <f>9+11</f>
        <v>20</v>
      </c>
      <c r="O33" s="14">
        <f>8+7</f>
        <v>15</v>
      </c>
      <c r="P33" s="14">
        <f>8+10</f>
        <v>18</v>
      </c>
      <c r="Q33" s="14">
        <f>10+8</f>
        <v>18</v>
      </c>
      <c r="R33" s="14">
        <f>10+8</f>
        <v>18</v>
      </c>
      <c r="S33" s="14">
        <f>8+14</f>
        <v>22</v>
      </c>
      <c r="T33" s="14">
        <f>7+9</f>
        <v>16</v>
      </c>
      <c r="U33" s="14">
        <f>7+5</f>
        <v>12</v>
      </c>
      <c r="V33" s="14">
        <f>7+7</f>
        <v>14</v>
      </c>
      <c r="W33" s="14">
        <f>8+5</f>
        <v>13</v>
      </c>
      <c r="X33" s="14">
        <f>15+12</f>
        <v>27</v>
      </c>
      <c r="Y33" s="14">
        <f>12+10</f>
        <v>22</v>
      </c>
      <c r="Z33" s="14">
        <f>14+12</f>
        <v>26</v>
      </c>
      <c r="AA33" s="14">
        <f>17+12</f>
        <v>29</v>
      </c>
      <c r="AB33" s="14">
        <f>10+14</f>
        <v>24</v>
      </c>
      <c r="AC33" s="14">
        <f>10+8+7+10</f>
        <v>35</v>
      </c>
      <c r="AD33" s="14">
        <f>13+12</f>
        <v>25</v>
      </c>
      <c r="AE33" s="14">
        <f>14+18</f>
        <v>32</v>
      </c>
      <c r="AF33" s="14">
        <v>39</v>
      </c>
      <c r="AG33" s="14">
        <v>42</v>
      </c>
      <c r="AH33" s="14">
        <v>37</v>
      </c>
      <c r="AI33" s="14">
        <v>11</v>
      </c>
    </row>
    <row r="34" spans="1:37" x14ac:dyDescent="0.2">
      <c r="A34" s="3"/>
      <c r="B34" s="4" t="s">
        <v>22</v>
      </c>
      <c r="C34" s="4"/>
      <c r="D34" s="14">
        <f>14+15</f>
        <v>29</v>
      </c>
      <c r="E34" s="14">
        <f>8+25</f>
        <v>33</v>
      </c>
      <c r="F34" s="14">
        <v>23</v>
      </c>
      <c r="G34" s="14">
        <f>13+24</f>
        <v>37</v>
      </c>
      <c r="H34" s="14">
        <v>18</v>
      </c>
      <c r="I34" s="14">
        <v>21</v>
      </c>
      <c r="J34" s="14">
        <f>46+55</f>
        <v>101</v>
      </c>
      <c r="K34" s="14">
        <f>68+109</f>
        <v>177</v>
      </c>
      <c r="L34" s="14">
        <f>13+18</f>
        <v>31</v>
      </c>
      <c r="M34" s="14">
        <f>3+3</f>
        <v>6</v>
      </c>
      <c r="N34" s="14">
        <v>1</v>
      </c>
      <c r="O34" s="14">
        <v>0</v>
      </c>
      <c r="P34" s="14">
        <v>0</v>
      </c>
      <c r="Q34" s="14">
        <f>1+0</f>
        <v>1</v>
      </c>
      <c r="R34" s="14">
        <v>0</v>
      </c>
      <c r="S34" s="14">
        <f>3+9</f>
        <v>12</v>
      </c>
      <c r="T34" s="14">
        <v>0</v>
      </c>
      <c r="U34" s="14">
        <v>0</v>
      </c>
      <c r="V34" s="14">
        <v>0</v>
      </c>
      <c r="W34" s="14">
        <v>0</v>
      </c>
      <c r="X34" s="14">
        <v>0</v>
      </c>
      <c r="Y34" s="14">
        <v>0</v>
      </c>
      <c r="Z34" s="14">
        <v>0</v>
      </c>
      <c r="AA34" s="14">
        <v>0</v>
      </c>
      <c r="AB34" s="14">
        <v>0</v>
      </c>
      <c r="AC34" s="14">
        <v>0</v>
      </c>
      <c r="AD34" s="14">
        <v>0</v>
      </c>
      <c r="AE34" s="14">
        <v>0</v>
      </c>
      <c r="AF34" s="14">
        <v>0</v>
      </c>
      <c r="AG34" s="14">
        <v>0</v>
      </c>
      <c r="AH34" s="14">
        <v>0</v>
      </c>
      <c r="AI34" s="14">
        <v>0</v>
      </c>
    </row>
    <row r="35" spans="1:37" ht="13.5" thickBot="1" x14ac:dyDescent="0.25">
      <c r="A35" s="15"/>
      <c r="B35" s="16" t="s">
        <v>23</v>
      </c>
      <c r="C35" s="16"/>
      <c r="D35" s="17">
        <f t="shared" ref="D35:AC35" si="6">SUM(D24:D34)</f>
        <v>9606</v>
      </c>
      <c r="E35" s="17">
        <f t="shared" si="6"/>
        <v>9332</v>
      </c>
      <c r="F35" s="17">
        <f t="shared" si="6"/>
        <v>9160</v>
      </c>
      <c r="G35" s="17">
        <f t="shared" si="6"/>
        <v>10432</v>
      </c>
      <c r="H35" s="17">
        <f t="shared" si="6"/>
        <v>10517</v>
      </c>
      <c r="I35" s="17">
        <f t="shared" si="6"/>
        <v>10200</v>
      </c>
      <c r="J35" s="17">
        <f t="shared" si="6"/>
        <v>10140</v>
      </c>
      <c r="K35" s="17">
        <f t="shared" si="6"/>
        <v>9630</v>
      </c>
      <c r="L35" s="17">
        <f t="shared" si="6"/>
        <v>9383</v>
      </c>
      <c r="M35" s="17">
        <f t="shared" si="6"/>
        <v>8816</v>
      </c>
      <c r="N35" s="17">
        <f t="shared" si="6"/>
        <v>9271</v>
      </c>
      <c r="O35" s="17">
        <f t="shared" si="6"/>
        <v>9223</v>
      </c>
      <c r="P35" s="17">
        <f t="shared" si="6"/>
        <v>9225</v>
      </c>
      <c r="Q35" s="17">
        <f t="shared" si="6"/>
        <v>8850</v>
      </c>
      <c r="R35" s="17">
        <f t="shared" si="6"/>
        <v>8873</v>
      </c>
      <c r="S35" s="17">
        <f>SUM(S24:S34)</f>
        <v>8679</v>
      </c>
      <c r="T35" s="17">
        <f>SUM(T24:T34)</f>
        <v>9014</v>
      </c>
      <c r="U35" s="17">
        <f>SUM(U24:U34)</f>
        <v>9534</v>
      </c>
      <c r="V35" s="17">
        <f>SUM(V24:V34)</f>
        <v>9581</v>
      </c>
      <c r="W35" s="17">
        <f t="shared" ref="W35" si="7">SUM(W24:W34)</f>
        <v>9718</v>
      </c>
      <c r="X35" s="17">
        <f t="shared" si="6"/>
        <v>9821</v>
      </c>
      <c r="Y35" s="17">
        <f t="shared" si="6"/>
        <v>10057</v>
      </c>
      <c r="Z35" s="17">
        <f t="shared" si="6"/>
        <v>10026</v>
      </c>
      <c r="AA35" s="17">
        <f t="shared" si="6"/>
        <v>10502</v>
      </c>
      <c r="AB35" s="17">
        <f t="shared" si="6"/>
        <v>10208</v>
      </c>
      <c r="AC35" s="17">
        <f t="shared" si="6"/>
        <v>10040</v>
      </c>
      <c r="AD35" s="17">
        <f t="shared" ref="AD35:AF35" si="8">SUM(AD24:AD34)</f>
        <v>9887</v>
      </c>
      <c r="AE35" s="17">
        <f t="shared" ref="AE35" si="9">SUM(AE24:AE34)</f>
        <v>8070</v>
      </c>
      <c r="AF35" s="17">
        <f t="shared" si="8"/>
        <v>9915</v>
      </c>
      <c r="AG35" s="17">
        <f t="shared" ref="AG35" si="10">SUM(AG24:AG34)</f>
        <v>10057</v>
      </c>
      <c r="AH35" s="17">
        <f>SUM(AH24:AH34)</f>
        <v>9728</v>
      </c>
      <c r="AI35" s="17">
        <f>SUM(AI24:AI34)</f>
        <v>8095</v>
      </c>
      <c r="AJ35" s="18"/>
      <c r="AK35" s="27"/>
    </row>
    <row r="36" spans="1:37" ht="13.5" thickTop="1" x14ac:dyDescent="0.2">
      <c r="A36" s="15"/>
      <c r="B36" s="16"/>
      <c r="C36" s="16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</row>
    <row r="37" spans="1:37" x14ac:dyDescent="0.2">
      <c r="A37" s="3"/>
      <c r="B37" s="4" t="s">
        <v>29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27"/>
    </row>
    <row r="38" spans="1:37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7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7" x14ac:dyDescent="0.2">
      <c r="A40" s="3"/>
      <c r="B40" s="19" t="s">
        <v>25</v>
      </c>
      <c r="C40" s="12"/>
      <c r="D40" s="20">
        <f t="shared" ref="D40:N40" si="11">E40-1</f>
        <v>2001</v>
      </c>
      <c r="E40" s="20">
        <f t="shared" si="11"/>
        <v>2002</v>
      </c>
      <c r="F40" s="20">
        <f t="shared" si="11"/>
        <v>2003</v>
      </c>
      <c r="G40" s="20">
        <f t="shared" si="11"/>
        <v>2004</v>
      </c>
      <c r="H40" s="20">
        <f t="shared" si="11"/>
        <v>2005</v>
      </c>
      <c r="I40" s="20">
        <f t="shared" si="11"/>
        <v>2006</v>
      </c>
      <c r="J40" s="20">
        <f t="shared" si="11"/>
        <v>2007</v>
      </c>
      <c r="K40" s="20">
        <f t="shared" si="11"/>
        <v>2008</v>
      </c>
      <c r="L40" s="20">
        <f t="shared" si="11"/>
        <v>2009</v>
      </c>
      <c r="M40" s="20">
        <f t="shared" si="11"/>
        <v>2010</v>
      </c>
      <c r="N40" s="20">
        <f t="shared" si="11"/>
        <v>2011</v>
      </c>
      <c r="O40" s="20">
        <f>X40-1</f>
        <v>2012</v>
      </c>
      <c r="P40" s="20">
        <v>2004</v>
      </c>
      <c r="Q40" s="20">
        <v>2005</v>
      </c>
      <c r="R40" s="20">
        <f t="shared" ref="R40:AC40" si="12">R9</f>
        <v>2006</v>
      </c>
      <c r="S40" s="20">
        <f t="shared" si="12"/>
        <v>2007</v>
      </c>
      <c r="T40" s="20">
        <f t="shared" si="12"/>
        <v>2008</v>
      </c>
      <c r="U40" s="20">
        <f t="shared" si="12"/>
        <v>2009</v>
      </c>
      <c r="V40" s="20">
        <f t="shared" si="12"/>
        <v>2010</v>
      </c>
      <c r="W40" s="20">
        <f t="shared" ref="W40" si="13">W9</f>
        <v>2011</v>
      </c>
      <c r="X40" s="20">
        <f t="shared" si="12"/>
        <v>2013</v>
      </c>
      <c r="Y40" s="20">
        <f t="shared" si="12"/>
        <v>2014</v>
      </c>
      <c r="Z40" s="20">
        <f t="shared" si="12"/>
        <v>2015</v>
      </c>
      <c r="AA40" s="20">
        <f t="shared" si="12"/>
        <v>2016</v>
      </c>
      <c r="AB40" s="20">
        <f t="shared" si="12"/>
        <v>2017</v>
      </c>
      <c r="AC40" s="20">
        <f t="shared" si="12"/>
        <v>2018</v>
      </c>
      <c r="AD40" s="20">
        <f t="shared" ref="AD40:AF40" si="14">AD9</f>
        <v>2019</v>
      </c>
      <c r="AE40" s="20">
        <f t="shared" ref="AE40" si="15">AE9</f>
        <v>2020</v>
      </c>
      <c r="AF40" s="20">
        <f t="shared" si="14"/>
        <v>2021</v>
      </c>
      <c r="AG40" s="20">
        <f t="shared" ref="AG40" si="16">AG9</f>
        <v>2022</v>
      </c>
      <c r="AH40" s="20">
        <v>2023</v>
      </c>
      <c r="AI40" s="20">
        <v>2024</v>
      </c>
    </row>
    <row r="41" spans="1:37" x14ac:dyDescent="0.2">
      <c r="A41" s="3"/>
      <c r="B41" s="12" t="s">
        <v>26</v>
      </c>
      <c r="C41" s="4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7" x14ac:dyDescent="0.2">
      <c r="A42" s="3"/>
      <c r="B42" s="4" t="s">
        <v>4</v>
      </c>
      <c r="C42" s="4"/>
      <c r="D42" s="21">
        <v>24.399665272</v>
      </c>
      <c r="E42" s="21">
        <v>24.824933687000001</v>
      </c>
      <c r="F42" s="21">
        <v>23.592926740999999</v>
      </c>
      <c r="G42" s="21">
        <v>23.734253039999999</v>
      </c>
      <c r="H42" s="21">
        <v>23.534187263</v>
      </c>
      <c r="I42" s="21">
        <v>23.407539385</v>
      </c>
      <c r="J42" s="21">
        <v>23.327138850000001</v>
      </c>
      <c r="K42" s="21">
        <v>23.340759494</v>
      </c>
      <c r="L42" s="21">
        <v>23.401785713999999</v>
      </c>
      <c r="M42" s="21">
        <v>23.378854625999999</v>
      </c>
      <c r="N42" s="21">
        <v>23.650380711</v>
      </c>
      <c r="O42" s="21">
        <v>23.607967120000001</v>
      </c>
      <c r="P42" s="21">
        <v>23.733632143000001</v>
      </c>
      <c r="Q42" s="21">
        <v>23.6</v>
      </c>
      <c r="R42" s="21">
        <v>23.7</v>
      </c>
      <c r="S42" s="21">
        <v>23.8</v>
      </c>
      <c r="T42" s="21">
        <v>23.9</v>
      </c>
      <c r="U42" s="21">
        <v>24</v>
      </c>
      <c r="V42" s="21">
        <v>24</v>
      </c>
      <c r="W42" s="21">
        <v>24</v>
      </c>
      <c r="X42" s="21">
        <v>24</v>
      </c>
      <c r="Y42" s="21">
        <v>24</v>
      </c>
      <c r="Z42" s="21">
        <v>24</v>
      </c>
      <c r="AA42" s="21">
        <v>24</v>
      </c>
      <c r="AB42" s="21">
        <v>24</v>
      </c>
      <c r="AC42" s="21">
        <v>24</v>
      </c>
      <c r="AD42" s="21">
        <v>24</v>
      </c>
      <c r="AE42" s="21">
        <v>24</v>
      </c>
      <c r="AF42" s="21">
        <v>24</v>
      </c>
      <c r="AG42" s="21">
        <v>24</v>
      </c>
      <c r="AH42" s="21">
        <v>24</v>
      </c>
      <c r="AI42" s="21">
        <v>24</v>
      </c>
    </row>
    <row r="43" spans="1:37" x14ac:dyDescent="0.2">
      <c r="A43" s="3"/>
      <c r="B43" s="4" t="s">
        <v>24</v>
      </c>
      <c r="C43" s="4"/>
      <c r="D43" s="21">
        <v>30.352471813000001</v>
      </c>
      <c r="E43" s="21">
        <v>30.413531239000001</v>
      </c>
      <c r="F43" s="21">
        <v>31.011879050000001</v>
      </c>
      <c r="G43" s="21">
        <v>31.168635073000001</v>
      </c>
      <c r="H43" s="21">
        <v>31.335593730999999</v>
      </c>
      <c r="I43" s="21">
        <v>31.146060512999998</v>
      </c>
      <c r="J43" s="21">
        <v>31.288371366</v>
      </c>
      <c r="K43" s="21">
        <v>31.505957238000001</v>
      </c>
      <c r="L43" s="21">
        <v>31.460605080000001</v>
      </c>
      <c r="M43" s="21">
        <v>31.436845550000001</v>
      </c>
      <c r="N43" s="21">
        <v>31.510763538999999</v>
      </c>
      <c r="O43" s="21">
        <v>31.417609187</v>
      </c>
      <c r="P43" s="21">
        <v>31.289145907000002</v>
      </c>
      <c r="Q43" s="21">
        <v>31.4</v>
      </c>
      <c r="R43" s="21">
        <v>31.4</v>
      </c>
      <c r="S43" s="21">
        <v>31.7</v>
      </c>
      <c r="T43" s="21">
        <v>31.7</v>
      </c>
      <c r="U43" s="21">
        <v>31.8</v>
      </c>
      <c r="V43" s="21">
        <v>31.8</v>
      </c>
      <c r="W43" s="21">
        <v>32</v>
      </c>
      <c r="X43" s="21">
        <v>32</v>
      </c>
      <c r="Y43" s="21">
        <v>32</v>
      </c>
      <c r="Z43" s="21">
        <v>32</v>
      </c>
      <c r="AA43" s="21">
        <v>32</v>
      </c>
      <c r="AB43" s="21">
        <v>32</v>
      </c>
      <c r="AC43" s="21">
        <v>32</v>
      </c>
      <c r="AD43" s="21">
        <v>32</v>
      </c>
      <c r="AE43" s="21">
        <v>32</v>
      </c>
      <c r="AF43" s="21">
        <v>32</v>
      </c>
      <c r="AG43" s="21">
        <v>32</v>
      </c>
      <c r="AH43" s="21">
        <v>33</v>
      </c>
      <c r="AI43" s="21">
        <v>33</v>
      </c>
    </row>
    <row r="44" spans="1:37" x14ac:dyDescent="0.2">
      <c r="A44" s="3"/>
      <c r="B44" s="16" t="s">
        <v>27</v>
      </c>
      <c r="C44" s="16"/>
      <c r="D44" s="25">
        <v>27.322827939</v>
      </c>
      <c r="E44" s="25">
        <v>27.562996786999999</v>
      </c>
      <c r="F44" s="25">
        <v>27.592398536000001</v>
      </c>
      <c r="G44" s="25">
        <v>27.811034595999999</v>
      </c>
      <c r="H44" s="25">
        <v>27.784957714000001</v>
      </c>
      <c r="I44" s="25">
        <v>27.661994427</v>
      </c>
      <c r="J44" s="25">
        <v>27.536027102999999</v>
      </c>
      <c r="K44" s="25">
        <v>27.491785596</v>
      </c>
      <c r="L44" s="25">
        <v>27.512668152</v>
      </c>
      <c r="M44" s="25">
        <v>27.402254717999998</v>
      </c>
      <c r="N44" s="25">
        <v>27.465714286000001</v>
      </c>
      <c r="O44" s="25">
        <v>27.325519754999998</v>
      </c>
      <c r="P44" s="25">
        <v>27.311788995000001</v>
      </c>
      <c r="Q44" s="25">
        <v>27.2</v>
      </c>
      <c r="R44" s="25">
        <v>27.2</v>
      </c>
      <c r="S44" s="25">
        <v>27.3</v>
      </c>
      <c r="T44" s="25">
        <v>27.3</v>
      </c>
      <c r="U44" s="25">
        <v>27.5</v>
      </c>
      <c r="V44" s="25">
        <v>27.5</v>
      </c>
      <c r="W44" s="25">
        <v>27.5</v>
      </c>
      <c r="X44" s="25">
        <v>28</v>
      </c>
      <c r="Y44" s="25">
        <v>28</v>
      </c>
      <c r="Z44" s="25">
        <v>28</v>
      </c>
      <c r="AA44" s="25">
        <v>28</v>
      </c>
      <c r="AB44" s="25">
        <v>27</v>
      </c>
      <c r="AC44" s="25">
        <v>27</v>
      </c>
      <c r="AD44" s="25">
        <v>27</v>
      </c>
      <c r="AE44" s="25">
        <v>27</v>
      </c>
      <c r="AF44" s="25">
        <v>28</v>
      </c>
      <c r="AG44" s="25">
        <v>28</v>
      </c>
      <c r="AH44" s="25">
        <v>29</v>
      </c>
      <c r="AI44" s="25">
        <v>29</v>
      </c>
    </row>
    <row r="45" spans="1:37" x14ac:dyDescent="0.2">
      <c r="A45" s="3"/>
      <c r="B45" s="4"/>
      <c r="C45" s="4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7" x14ac:dyDescent="0.2">
      <c r="A46" s="3"/>
      <c r="B46" s="12" t="s">
        <v>28</v>
      </c>
      <c r="C46" s="4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7" x14ac:dyDescent="0.2">
      <c r="A47" s="3"/>
      <c r="B47" s="4" t="s">
        <v>4</v>
      </c>
      <c r="C47" s="4"/>
      <c r="D47" s="21">
        <v>31.976190475999999</v>
      </c>
      <c r="E47" s="21">
        <v>32.354838710000003</v>
      </c>
      <c r="F47" s="21">
        <v>18.755555556000001</v>
      </c>
      <c r="G47" s="21">
        <v>17.238095238</v>
      </c>
      <c r="H47" s="21">
        <v>17.035714286000001</v>
      </c>
      <c r="I47" s="21">
        <v>16.571428570999998</v>
      </c>
      <c r="J47" s="21">
        <v>17.964285713999999</v>
      </c>
      <c r="K47" s="21">
        <v>17.090909091</v>
      </c>
      <c r="L47" s="21">
        <v>17.636363635999999</v>
      </c>
      <c r="M47" s="21">
        <v>17.375</v>
      </c>
      <c r="N47" s="21">
        <v>17.180722891999999</v>
      </c>
      <c r="O47" s="21">
        <v>17.607142856999999</v>
      </c>
      <c r="P47" s="21">
        <v>17.175000000000001</v>
      </c>
      <c r="Q47" s="21">
        <v>17.600000000000001</v>
      </c>
      <c r="R47" s="21">
        <v>18.3</v>
      </c>
      <c r="S47" s="21">
        <v>18.100000000000001</v>
      </c>
      <c r="T47" s="21">
        <v>18.8</v>
      </c>
      <c r="U47" s="21">
        <v>23.5</v>
      </c>
      <c r="V47" s="21">
        <v>19</v>
      </c>
      <c r="W47" s="21">
        <v>20</v>
      </c>
      <c r="X47" s="21">
        <v>17</v>
      </c>
      <c r="Y47" s="21">
        <v>17</v>
      </c>
      <c r="Z47" s="21">
        <v>17</v>
      </c>
      <c r="AA47" s="21">
        <v>17</v>
      </c>
      <c r="AB47" s="21">
        <v>17</v>
      </c>
      <c r="AC47" s="21">
        <v>17</v>
      </c>
      <c r="AD47" s="21">
        <v>17</v>
      </c>
      <c r="AE47" s="21">
        <v>17</v>
      </c>
      <c r="AF47" s="21">
        <v>17</v>
      </c>
      <c r="AG47" s="21">
        <v>17</v>
      </c>
      <c r="AH47" s="21">
        <v>17</v>
      </c>
      <c r="AI47" s="21">
        <v>17</v>
      </c>
    </row>
    <row r="48" spans="1:37" x14ac:dyDescent="0.2">
      <c r="A48" s="3"/>
      <c r="B48" s="4" t="s">
        <v>24</v>
      </c>
      <c r="C48" s="4"/>
      <c r="D48" s="21">
        <v>18.622143547</v>
      </c>
      <c r="E48" s="21">
        <v>17.814265335000002</v>
      </c>
      <c r="F48" s="21">
        <v>18.155765921</v>
      </c>
      <c r="G48" s="21">
        <v>17.553547343000002</v>
      </c>
      <c r="H48" s="21">
        <v>17.285973084999998</v>
      </c>
      <c r="I48" s="21">
        <v>17.366439290999999</v>
      </c>
      <c r="J48" s="21">
        <v>17.403402853999999</v>
      </c>
      <c r="K48" s="21">
        <v>17.825668771</v>
      </c>
      <c r="L48" s="21">
        <v>17.953642383999998</v>
      </c>
      <c r="M48" s="21">
        <v>17.320726733000001</v>
      </c>
      <c r="N48" s="21">
        <v>17.624247894</v>
      </c>
      <c r="O48" s="21">
        <v>17.784460431999999</v>
      </c>
      <c r="P48" s="21">
        <v>17.517683096999999</v>
      </c>
      <c r="Q48" s="21">
        <v>17.7</v>
      </c>
      <c r="R48" s="21">
        <v>17.600000000000001</v>
      </c>
      <c r="S48" s="21">
        <v>17.7</v>
      </c>
      <c r="T48" s="21">
        <v>18.8</v>
      </c>
      <c r="U48" s="21">
        <v>18.600000000000001</v>
      </c>
      <c r="V48" s="21">
        <v>18</v>
      </c>
      <c r="W48" s="21">
        <v>18</v>
      </c>
      <c r="X48" s="21">
        <v>18</v>
      </c>
      <c r="Y48" s="21">
        <v>18</v>
      </c>
      <c r="Z48" s="21">
        <v>17</v>
      </c>
      <c r="AA48" s="21">
        <v>17</v>
      </c>
      <c r="AB48" s="21">
        <v>17</v>
      </c>
      <c r="AC48" s="21">
        <v>17</v>
      </c>
      <c r="AD48" s="21">
        <v>17</v>
      </c>
      <c r="AE48" s="21">
        <v>17</v>
      </c>
      <c r="AF48" s="21">
        <v>17</v>
      </c>
      <c r="AG48" s="21">
        <v>17</v>
      </c>
      <c r="AH48" s="21">
        <v>17</v>
      </c>
      <c r="AI48" s="21">
        <v>17</v>
      </c>
    </row>
    <row r="49" spans="1:36" x14ac:dyDescent="0.2">
      <c r="A49" s="3"/>
      <c r="B49" s="16" t="s">
        <v>27</v>
      </c>
      <c r="C49" s="16"/>
      <c r="D49" s="25">
        <v>18.800254048999999</v>
      </c>
      <c r="E49" s="25">
        <v>17.941742081000001</v>
      </c>
      <c r="F49" s="25">
        <v>18.163409799</v>
      </c>
      <c r="G49" s="25">
        <v>17.551770386000001</v>
      </c>
      <c r="H49" s="25">
        <v>17.284172662</v>
      </c>
      <c r="I49" s="25">
        <v>17.358918919000001</v>
      </c>
      <c r="J49" s="25">
        <v>17.407679738999999</v>
      </c>
      <c r="K49" s="25">
        <v>17.818452381</v>
      </c>
      <c r="L49" s="25">
        <v>17.947173309</v>
      </c>
      <c r="M49" s="25">
        <v>17.321675773999999</v>
      </c>
      <c r="N49" s="25">
        <v>17.613442912</v>
      </c>
      <c r="O49" s="25">
        <v>17.781648258000001</v>
      </c>
      <c r="P49" s="25">
        <v>17.513908013999998</v>
      </c>
      <c r="Q49" s="25">
        <v>17.7</v>
      </c>
      <c r="R49" s="25">
        <v>17.600000000000001</v>
      </c>
      <c r="S49" s="25">
        <v>17.7</v>
      </c>
      <c r="T49" s="25">
        <v>18.8</v>
      </c>
      <c r="U49" s="25">
        <v>18.8</v>
      </c>
      <c r="V49" s="25">
        <v>18</v>
      </c>
      <c r="W49" s="25">
        <v>18</v>
      </c>
      <c r="X49" s="25">
        <v>18</v>
      </c>
      <c r="Y49" s="25">
        <v>18</v>
      </c>
      <c r="Z49" s="25">
        <v>17</v>
      </c>
      <c r="AA49" s="25">
        <v>17</v>
      </c>
      <c r="AB49" s="25">
        <v>17</v>
      </c>
      <c r="AC49" s="25">
        <v>17</v>
      </c>
      <c r="AD49" s="25">
        <v>17</v>
      </c>
      <c r="AE49" s="25">
        <v>17</v>
      </c>
      <c r="AF49" s="25">
        <v>17</v>
      </c>
      <c r="AG49" s="25">
        <v>17</v>
      </c>
      <c r="AH49" s="25">
        <v>17</v>
      </c>
      <c r="AI49" s="25">
        <v>17</v>
      </c>
    </row>
    <row r="50" spans="1:36" x14ac:dyDescent="0.2">
      <c r="A50" s="3"/>
      <c r="B50" s="4"/>
      <c r="C50" s="4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6" x14ac:dyDescent="0.2">
      <c r="A51" s="3"/>
      <c r="B51" s="12" t="s">
        <v>27</v>
      </c>
      <c r="C51" s="4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pans="1:36" x14ac:dyDescent="0.2">
      <c r="A52" s="3"/>
      <c r="B52" s="4" t="s">
        <v>4</v>
      </c>
      <c r="C52" s="4"/>
      <c r="D52" s="21">
        <v>24.452551105000001</v>
      </c>
      <c r="E52" s="21">
        <v>24.863433944000001</v>
      </c>
      <c r="F52" s="21">
        <v>23.553964561000001</v>
      </c>
      <c r="G52" s="21">
        <v>23.709584087</v>
      </c>
      <c r="H52" s="21">
        <v>23.501525758</v>
      </c>
      <c r="I52" s="21">
        <v>23.362958822</v>
      </c>
      <c r="J52" s="21">
        <v>23.300942079999999</v>
      </c>
      <c r="K52" s="21">
        <v>23.306143000999999</v>
      </c>
      <c r="L52" s="21">
        <v>23.338387204</v>
      </c>
      <c r="M52" s="21">
        <v>23.332200097000001</v>
      </c>
      <c r="N52" s="21">
        <v>23.566306560000001</v>
      </c>
      <c r="O52" s="21">
        <v>23.555311814</v>
      </c>
      <c r="P52" s="21">
        <v>23.691903928999999</v>
      </c>
      <c r="Q52" s="21">
        <v>23.6</v>
      </c>
      <c r="R52" s="21">
        <v>23.7</v>
      </c>
      <c r="S52" s="21">
        <v>23.7</v>
      </c>
      <c r="T52" s="21">
        <v>23.9</v>
      </c>
      <c r="U52" s="21">
        <v>24</v>
      </c>
      <c r="V52" s="21">
        <v>24.3</v>
      </c>
      <c r="W52" s="21">
        <v>24</v>
      </c>
      <c r="X52" s="21">
        <v>24</v>
      </c>
      <c r="Y52" s="21">
        <v>24</v>
      </c>
      <c r="Z52" s="21">
        <v>24</v>
      </c>
      <c r="AA52" s="21">
        <v>24</v>
      </c>
      <c r="AB52" s="21">
        <v>24</v>
      </c>
      <c r="AC52" s="21">
        <v>24</v>
      </c>
      <c r="AD52" s="21">
        <v>24</v>
      </c>
      <c r="AE52" s="21">
        <v>24</v>
      </c>
      <c r="AF52" s="21">
        <v>24</v>
      </c>
      <c r="AG52" s="21">
        <v>24</v>
      </c>
      <c r="AH52" s="21">
        <v>24</v>
      </c>
      <c r="AI52" s="21">
        <v>24</v>
      </c>
    </row>
    <row r="53" spans="1:36" x14ac:dyDescent="0.2">
      <c r="A53" s="3"/>
      <c r="B53" s="4" t="s">
        <v>24</v>
      </c>
      <c r="C53" s="4"/>
      <c r="D53" s="21">
        <v>26.244477006</v>
      </c>
      <c r="E53" s="21">
        <v>25.66458759</v>
      </c>
      <c r="F53" s="21">
        <v>26.515850722</v>
      </c>
      <c r="G53" s="21">
        <v>26.313774529</v>
      </c>
      <c r="H53" s="21">
        <v>26.165333333</v>
      </c>
      <c r="I53" s="21">
        <v>26.183176101000001</v>
      </c>
      <c r="J53" s="21">
        <v>26.249850627000001</v>
      </c>
      <c r="K53" s="21">
        <v>26.691664904</v>
      </c>
      <c r="L53" s="21">
        <v>26.880774165999998</v>
      </c>
      <c r="M53" s="21">
        <v>27.114996027</v>
      </c>
      <c r="N53" s="21">
        <v>26.531391586000002</v>
      </c>
      <c r="O53" s="21">
        <v>26.280416396</v>
      </c>
      <c r="P53" s="21">
        <v>25.920204104</v>
      </c>
      <c r="Q53" s="21">
        <v>26.2</v>
      </c>
      <c r="R53" s="21">
        <v>26.1</v>
      </c>
      <c r="S53" s="21">
        <v>26.3</v>
      </c>
      <c r="T53" s="21">
        <v>26.3</v>
      </c>
      <c r="U53" s="21">
        <v>26.1</v>
      </c>
      <c r="V53" s="21">
        <v>26</v>
      </c>
      <c r="W53" s="21">
        <v>26</v>
      </c>
      <c r="X53" s="21">
        <v>25</v>
      </c>
      <c r="Y53" s="21">
        <v>25</v>
      </c>
      <c r="Z53" s="21">
        <v>25</v>
      </c>
      <c r="AA53" s="21">
        <v>24</v>
      </c>
      <c r="AB53" s="21">
        <v>23</v>
      </c>
      <c r="AC53" s="21">
        <v>23</v>
      </c>
      <c r="AD53" s="21">
        <v>23</v>
      </c>
      <c r="AE53" s="21">
        <v>24</v>
      </c>
      <c r="AF53" s="21">
        <v>23</v>
      </c>
      <c r="AG53" s="21">
        <v>22</v>
      </c>
      <c r="AH53" s="21">
        <v>22</v>
      </c>
      <c r="AI53" s="21">
        <v>22</v>
      </c>
    </row>
    <row r="54" spans="1:36" x14ac:dyDescent="0.2">
      <c r="A54" s="3"/>
      <c r="B54" s="16" t="s">
        <v>27</v>
      </c>
      <c r="C54" s="16"/>
      <c r="D54" s="25">
        <v>25.520317013</v>
      </c>
      <c r="E54" s="25">
        <v>25.348392136000001</v>
      </c>
      <c r="F54" s="25">
        <v>25.452009</v>
      </c>
      <c r="G54" s="25">
        <v>25.409519025000002</v>
      </c>
      <c r="H54" s="25">
        <v>25.241926451000001</v>
      </c>
      <c r="I54" s="25">
        <v>25.209354693000002</v>
      </c>
      <c r="J54" s="25">
        <v>25.178268035999999</v>
      </c>
      <c r="K54" s="25">
        <v>25.382883466999999</v>
      </c>
      <c r="L54" s="25">
        <v>25.496027093999999</v>
      </c>
      <c r="M54" s="25">
        <v>25.555785400000001</v>
      </c>
      <c r="N54" s="25">
        <v>25.321836877999999</v>
      </c>
      <c r="O54" s="25">
        <v>25.165854909</v>
      </c>
      <c r="P54" s="25">
        <v>25.016260162999998</v>
      </c>
      <c r="Q54" s="25">
        <v>25.1</v>
      </c>
      <c r="R54" s="25">
        <v>25</v>
      </c>
      <c r="S54" s="25">
        <v>25.2</v>
      </c>
      <c r="T54" s="25">
        <v>25.3</v>
      </c>
      <c r="U54" s="25">
        <v>25.2</v>
      </c>
      <c r="V54" s="25">
        <v>25.3</v>
      </c>
      <c r="W54" s="25">
        <v>25.3</v>
      </c>
      <c r="X54" s="25">
        <v>25</v>
      </c>
      <c r="Y54" s="25">
        <v>25</v>
      </c>
      <c r="Z54" s="25">
        <v>24</v>
      </c>
      <c r="AA54" s="25">
        <v>24</v>
      </c>
      <c r="AB54" s="25">
        <v>23</v>
      </c>
      <c r="AC54" s="25">
        <v>23</v>
      </c>
      <c r="AD54" s="25">
        <v>23</v>
      </c>
      <c r="AE54" s="25">
        <v>24</v>
      </c>
      <c r="AF54" s="25">
        <v>23</v>
      </c>
      <c r="AG54" s="25">
        <v>23</v>
      </c>
      <c r="AH54" s="25">
        <v>23</v>
      </c>
      <c r="AI54" s="25">
        <v>23</v>
      </c>
      <c r="AJ54" s="26"/>
    </row>
    <row r="55" spans="1:36" x14ac:dyDescent="0.2">
      <c r="A55" s="3"/>
      <c r="B55" s="4"/>
      <c r="C55" s="4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6" x14ac:dyDescent="0.2">
      <c r="A56" s="3"/>
      <c r="B56" s="4" t="s">
        <v>30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6" x14ac:dyDescent="0.2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</sheetData>
  <mergeCells count="1">
    <mergeCell ref="D8:AG8"/>
  </mergeCells>
  <phoneticPr fontId="0" type="noConversion"/>
  <printOptions horizontalCentered="1"/>
  <pageMargins left="0" right="0" top="0.3" bottom="0.36" header="0.5" footer="0.17"/>
  <pageSetup scale="95" orientation="portrait" horizontalDpi="1200" verticalDpi="1200" r:id="rId1"/>
  <headerFooter>
    <oddFooter>&amp;L&amp;"Times New Roman,Regular"&amp;8UMSL Fact Book&amp;C&amp;"Times New Roman,Regular"&amp;8&amp;A&amp;R&amp;"Times New Roman,Regular"&amp;8Last Updated Fall 2023</oddFooter>
  </headerFooter>
  <ignoredErrors>
    <ignoredError sqref="W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5DFC-40AB-4369-B6D4-8C94AACD90C0}">
  <dimension ref="A1"/>
  <sheetViews>
    <sheetView workbookViewId="0">
      <selection activeCell="L31" sqref="L31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48ee8efe-bfdb-468a-bb45-59fe348a746e">
      <Terms xmlns="http://schemas.microsoft.com/office/infopath/2007/PartnerControls"/>
    </lcf76f155ced4ddcb4097134ff3c332f>
    <TaxCatchAll xmlns="2de15e4a-3ead-4749-81b6-4b2ddac7617b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E4AE301A6EC4C8AD26A5E7FCEFE2C" ma:contentTypeVersion="19" ma:contentTypeDescription="Create a new document." ma:contentTypeScope="" ma:versionID="848eb9f2045b72c093dca8ec65a1fd75">
  <xsd:schema xmlns:xsd="http://www.w3.org/2001/XMLSchema" xmlns:xs="http://www.w3.org/2001/XMLSchema" xmlns:p="http://schemas.microsoft.com/office/2006/metadata/properties" xmlns:ns1="http://schemas.microsoft.com/sharepoint/v3" xmlns:ns2="48ee8efe-bfdb-468a-bb45-59fe348a746e" xmlns:ns3="2de15e4a-3ead-4749-81b6-4b2ddac7617b" targetNamespace="http://schemas.microsoft.com/office/2006/metadata/properties" ma:root="true" ma:fieldsID="14afcfd01ec310b378982a2402ae0fe8" ns1:_="" ns2:_="" ns3:_="">
    <xsd:import namespace="http://schemas.microsoft.com/sharepoint/v3"/>
    <xsd:import namespace="48ee8efe-bfdb-468a-bb45-59fe348a746e"/>
    <xsd:import namespace="2de15e4a-3ead-4749-81b6-4b2ddac76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ee8efe-bfdb-468a-bb45-59fe348a7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15e4a-3ead-4749-81b6-4b2ddac761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66a8a92-4409-4953-bac2-6e236e8637fd}" ma:internalName="TaxCatchAll" ma:showField="CatchAllData" ma:web="2de15e4a-3ead-4749-81b6-4b2ddac761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91CDD4-2F5E-4783-B5D0-7CF133AADC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FDC2AE-B824-4F13-84C9-FE7AACA093E3}">
  <ds:schemaRefs>
    <ds:schemaRef ds:uri="2de15e4a-3ead-4749-81b6-4b2ddac7617b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sharepoint/v3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  <ds:schemaRef ds:uri="48ee8efe-bfdb-468a-bb45-59fe348a746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376B81F-CB98-4255-8767-48F802F36E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8ee8efe-bfdb-468a-bb45-59fe348a746e"/>
    <ds:schemaRef ds:uri="2de15e4a-3ead-4749-81b6-4b2ddac76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fall_enroll_age</vt:lpstr>
      <vt:lpstr>Sheet1</vt:lpstr>
      <vt:lpstr>fall_enroll_age!Print_Area</vt:lpstr>
    </vt:vector>
  </TitlesOfParts>
  <Company>University of Missouri - St. Louis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Vineyard, George</cp:lastModifiedBy>
  <cp:lastPrinted>2023-12-20T19:06:50Z</cp:lastPrinted>
  <dcterms:created xsi:type="dcterms:W3CDTF">2005-02-07T18:31:24Z</dcterms:created>
  <dcterms:modified xsi:type="dcterms:W3CDTF">2025-02-18T17:19:06Z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0x010100E18E4AE301A6EC4C8AD26A5E7FCEFE2C</vt:lpwstr>
  </property>
  <property fmtid="{D5CDD505-2E9C-101B-9397-08002B2CF9AE}" pid="3" name="MediaServiceImageTags">
    <vt:lpwstr/>
  </property>
</Properties>
</file>